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theme/themeOverride2.xml" ContentType="application/vnd.openxmlformats-officedocument.themeOverride+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8.xml" ContentType="application/vnd.openxmlformats-officedocument.drawingml.chart+xml"/>
  <Override PartName="/xl/drawings/drawing1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Default Extension="png" ContentType="image/png"/>
  <Override PartName="/xl/charts/chart10.xml" ContentType="application/vnd.openxmlformats-officedocument.drawingml.chart+xml"/>
  <Override PartName="/xl/drawings/drawing9.xml" ContentType="application/vnd.openxmlformats-officedocument.drawing+xml"/>
  <Override PartName="/xl/tables/table3.xml" ContentType="application/vnd.openxmlformats-officedocument.spreadsheetml.table+xml"/>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theme/themeOverride1.xml" ContentType="application/vnd.openxmlformats-officedocument.themeOverrid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codeName="ThisWorkbook" defaultThemeVersion="124226"/>
  <bookViews>
    <workbookView xWindow="0" yWindow="0" windowWidth="20730" windowHeight="11760" tabRatio="790" firstSheet="2" activeTab="4"/>
  </bookViews>
  <sheets>
    <sheet name="Disclaimer" sheetId="9" r:id="rId1"/>
    <sheet name="Revision_History" sheetId="10" r:id="rId2"/>
    <sheet name="Spec Entry" sheetId="1" r:id="rId3"/>
    <sheet name="Thermal Comp" sheetId="11" r:id="rId4"/>
    <sheet name="Static LL" sheetId="2" r:id="rId5"/>
    <sheet name="Transient LL" sheetId="3" r:id="rId6"/>
    <sheet name="Dynamic VID " sheetId="5" r:id="rId7"/>
    <sheet name="Psys" sheetId="36" r:id="rId8"/>
    <sheet name="Raw_data" sheetId="33" r:id="rId9"/>
    <sheet name="Accuracy" sheetId="34" r:id="rId10"/>
    <sheet name="Response Time" sheetId="35" r:id="rId11"/>
    <sheet name="VID1 Validation Plots" sheetId="7" r:id="rId12"/>
    <sheet name="VID2 - PS1 Validation Plots" sheetId="8" r:id="rId13"/>
    <sheet name="VID2 - PS2 Validation Plots" sheetId="12" r:id="rId14"/>
    <sheet name="Test Summary" sheetId="4" r:id="rId15"/>
    <sheet name="IOUT Calcs" sheetId="13" r:id="rId16"/>
    <sheet name="Iout_data" sheetId="32" r:id="rId17"/>
  </sheets>
  <externalReferences>
    <externalReference r:id="rId18"/>
  </externalReferences>
  <definedNames>
    <definedName name="_PL2">'Spec Entry'!#REF!</definedName>
    <definedName name="ADC_Vref" comment="the full scale voltage on the IMVP8 Psys pin. An ADC converts this voltage level to FFh.">Psys!$L$2</definedName>
    <definedName name="DCR">'Spec Entry'!$D$18</definedName>
    <definedName name="dt">'Spec Entry'!$D$64</definedName>
    <definedName name="Duty_Cycle">'Spec Entry'!$D$89</definedName>
    <definedName name="dVID_Settle">'Spec Entry'!$D$66</definedName>
    <definedName name="Eff">'Spec Entry'!$D$41</definedName>
    <definedName name="I_Step_PS0" localSheetId="7">'Spec Entry'!#REF!</definedName>
    <definedName name="I_Step_PS0">'Spec Entry'!#REF!</definedName>
    <definedName name="I_Step_PS0_IccMAX" comment="This is the IccMAX Dynamic Current Step for Overshoot">'Spec Entry'!$D$37</definedName>
    <definedName name="I_Step_PS0_IccMAX_App" comment="di Transient for the IccMAX_App current step.">'Spec Entry'!$D$88</definedName>
    <definedName name="I_Step_PS1">'Spec Entry'!$D$85</definedName>
    <definedName name="I_TDC" localSheetId="7">'Spec Entry'!#REF!</definedName>
    <definedName name="I_TDC">'Spec Entry'!#REF!</definedName>
    <definedName name="IccMax">'Spec Entry'!$D$34</definedName>
    <definedName name="IccMax_app">'Spec Entry'!$D$87</definedName>
    <definedName name="Iccmax_PS1">'Spec Entry'!$D$47</definedName>
    <definedName name="IccMax_PS2">'Spec Entry'!$D$48</definedName>
    <definedName name="IccMax_PS3">'Spec Entry'!$D$49</definedName>
    <definedName name="IccMax20p">'IOUT Calcs'!$F$110</definedName>
    <definedName name="IccMax80p">'IOUT Calcs'!$F$116</definedName>
    <definedName name="Iout_spec">'IOUT Calcs'!$J$99</definedName>
    <definedName name="Ipsys" comment="the µAmps/Watt of the PSYS signal from the charger.">Psys!$M$2</definedName>
    <definedName name="LT_TDC">'Spec Entry'!$D$86</definedName>
    <definedName name="Neg_Ripple_PS2">'Spec Entry'!$D$57</definedName>
    <definedName name="Neg_Ripple_PS3">'Spec Entry'!$D$59</definedName>
    <definedName name="Offset">'IOUT Calcs'!$O$18</definedName>
    <definedName name="phases">'Spec Entry'!$D$16</definedName>
    <definedName name="PL1w">'Spec Entry'!$D$36</definedName>
    <definedName name="PL2_TDC">'[1]Spec Entry'!$D$65</definedName>
    <definedName name="Platform">'Spec Entry'!$D$6</definedName>
    <definedName name="POS_Ripple_PS2">'Spec Entry'!$D$56</definedName>
    <definedName name="POS_Ripple_PS3">'Spec Entry'!$D$58</definedName>
    <definedName name="PS0_Decay_5A_5uS" comment="The APV will log the voltage level 5uS after ALERT# asserts.">'Dynamic VID '!$M$81</definedName>
    <definedName name="PS0_Decay_5A_Static_V" comment="The APV will log the static V">'Dynamic VID '!$M$73</definedName>
    <definedName name="PS0_Decay_5A_undershoot" comment="The APV will log undershoot.">'Dynamic VID '!$M$84</definedName>
    <definedName name="PS0_Decay_5A_Vdown" comment="Screen shot of Dynamic VID voltage ramp down.">'Dynamic VID '!$Y$69</definedName>
    <definedName name="PS0_Decay_5A_Vup" comment="Screen shot of Dynamic VID voltage ramp up.">'Dynamic VID '!$P$69</definedName>
    <definedName name="PS0_Fast_10A_5uS" comment="The APV will log the voltage level 5uS after ALERT# asserts.">'Dynamic VID '!$M$46</definedName>
    <definedName name="PS0_Fast_10A_down" comment="Capture time duration from CSO# to Alert assetion while voltage is ramping down.">'Dynamic VID '!$M$42</definedName>
    <definedName name="PS0_Fast_10A_Static_V" comment="The APV will log static voltage.">'Dynamic VID '!$M$40</definedName>
    <definedName name="PS0_Fast_10A_undershoot" comment="The APV will log measure undershoot.">'Dynamic VID '!$M$49</definedName>
    <definedName name="PS0_Fast_10A_up" comment="Capture time duration from CSO# to Alert assetion while voltage is ramping up.">'Dynamic VID '!$M$43</definedName>
    <definedName name="PS0_Fast_10A_Vdown" comment="Screen shot of Dynamic VID voltage decrease...">'Dynamic VID '!$Y$36</definedName>
    <definedName name="PS0_Fast_10A_Vup" comment="Screen Shot of Dynamic VID voltage increase...">'Dynamic VID '!$P$36</definedName>
    <definedName name="PS0_IccMAX_App_tOvS" comment="The APV will log the Duration of Overshoot measurement while in PS0 IccMAX App Transient.">'Transient LL'!$M$18</definedName>
    <definedName name="PS0_IccMAX_App_V_End" comment="The APV will log the V End voltage measurement while in PS0 IccMAX App Transient.">'Transient LL'!$K$14</definedName>
    <definedName name="PS0_IccMAX_App_V_OS" comment="The APV will log the Positive Excursion voltage measurement while in PS0 IccMAX App Transient.">'Transient LL'!$K$18</definedName>
    <definedName name="PS0_IccMAX_tOvS" comment="The APV will log the Duration of Overshoot measurement while in PS0 IccMAX Transient.">'Transient LL'!$R$18</definedName>
    <definedName name="PS0_IccMAX_V_End" comment="The APV will log the V End voltage measurement while in PS0 IccMAX Transient.">'Transient LL'!$P$14</definedName>
    <definedName name="PS0_IccMax_V_OS" comment="The APV will log the Positive Excursion voltage measurement while in PS0 IccMAX Transient.">'Transient LL'!$P$18</definedName>
    <definedName name="PS0_Iin" comment="The APV will log the Power Rail input current for the PS0 test.">'Static LL'!$Q$11</definedName>
    <definedName name="PS0_ILoad">'Static LL'!$M$11</definedName>
    <definedName name="PS0_Iout" comment="The APV will log the SVID Iout Reading for the PS0 test.">'Static LL'!$R$11</definedName>
    <definedName name="PS0_Large_Step_Droop_Duration" comment="The APV will log the Droop Duration voltage measurement while in PS0 Large Step Transient.">'Transient LL'!$H$18</definedName>
    <definedName name="PS0_Large_Step_V_Droop" comment="The APV will log the V Droop voltage measurement while in PS0 Large Step Transient.">'Transient LL'!$F$18</definedName>
    <definedName name="PS0_Large_Step_V_Start" comment="The APV will log the V Start voltage measurement while in PS0 Large Step Transient.">'Transient LL'!$F$14</definedName>
    <definedName name="PS0_LS_Droop" comment="The AVP will save the worst case droop of the transient step.">'Transient LL'!$Z$6</definedName>
    <definedName name="PS0_LS_Over" comment="The AVP will save the worst case overshoot of transient step.">'Transient LL'!$AI$6</definedName>
    <definedName name="PS0_OCP" comment="Ending current value for the PS0 Over Current Protection test.">'Transient LL'!$G$233</definedName>
    <definedName name="PS0_PS1_200uS_to_400us" comment="Voltage measurement from the bottom of ripple in PS0 to the bottom of droop or ripple in PS1.">'Transient LL'!$N$140</definedName>
    <definedName name="PS0_PS2_200us_to_400us" comment="Voltage measurement from the bottom of ripple in P00 to the bottom of droop or ripple in PS2.">'Transient LL'!$N$172</definedName>
    <definedName name="PS0_PS3_200us_to_400us" comment="Voltage measurement from the bottom of ripple in PS0 to the bottom of droop or ripple in PS3.">'Transient LL'!$N$205</definedName>
    <definedName name="PS0_Ripple" comment="The APV will log the VR ripple for the PS0.">'Static LL'!$O$11</definedName>
    <definedName name="PS0_Slow_10A_5uS" comment="Capture voltage level at 5uS after Alert# asserts.">'Dynamic VID '!$M$16</definedName>
    <definedName name="PS0_Slow_10A_down" comment="Capture time duration from CSO# to Alert assertion while voltage is ramping down.">'Dynamic VID '!$M$12</definedName>
    <definedName name="PS0_Slow_10A_Static_V" comment="Capture static voltage.">'Dynamic VID '!$M$10</definedName>
    <definedName name="PS0_Slow_10A_undershoot" comment="Capture undershoot.">'Dynamic VID '!$M$19</definedName>
    <definedName name="PS0_Slow_10A_up" comment="Capture time duration from CSO# to Alert assertion while voltage is ramping up.">'Dynamic VID '!$M$13</definedName>
    <definedName name="PS0_Slow_10A_Vdown" comment="The APV willl capture the scope screen shot for the Dynamic VID voltage decrease.">'Dynamic VID '!$Y$6</definedName>
    <definedName name="PS0_Slow_10A_Vup" comment="The APV willl capture the scope screen shot for the Dynamic VID voltage increase.">'Dynamic VID '!$P$6</definedName>
    <definedName name="PS0_Slow_5A_up" comment="The APV will log the time duration from CSO# to ALERT assertion.">'Dynamic VID '!$M$77</definedName>
    <definedName name="PS0_Small_Step_V_Droop" comment="The APV will log the V Droop voltage measurement while in PS0 Small Step Transient.">'Transient LL'!$F$56</definedName>
    <definedName name="PS0_Small_Step_V_Start" comment="The APV will log the V Start voltage measurement while in PS0 Small Step Transient.">'Transient LL'!$F$52</definedName>
    <definedName name="PS0_SS_300hz" comment="The AVP will save the 300hz transient step.">'Transient LL'!$P$44</definedName>
    <definedName name="PS0_SS_Droop" comment="The AVP will save the Droop transient step.">'Transient LL'!$Y$44</definedName>
    <definedName name="PS0_Vin" comment="The APV will log the Power Rail input voltage for the PS0 test.">'Static LL'!$P$11</definedName>
    <definedName name="PS0_VRout" comment="APV will input VR voltage output for the PS0 test.">'Static LL'!$N$11</definedName>
    <definedName name="PS1_300hz" comment="The AVP will save the 300hz transient step.">'Transient LL'!$P$74</definedName>
    <definedName name="PS1_Droop" comment="The AVP will save the worst case droop transient step.">'Transient LL'!$Y$74</definedName>
    <definedName name="PS1_Fast_0A_Vup" comment="Screen shot of Dynamic VID voltage increase.">'Dynamic VID '!$P$104</definedName>
    <definedName name="PS1_Fast_10A_5uS" comment="The APV will log the voltage level 5uS after the ALERT# asserts.">'Dynamic VID '!$M$114</definedName>
    <definedName name="PS1_Fast_10A_Static_V" comment="The APV will log the Dynamic VID Static Voltage.">'Dynamic VID '!$M$108</definedName>
    <definedName name="PS1_Fast_10A_up" comment="The APV will log the time duration from CSO# to ALERT Assertion.">'Dynamic VID '!$M$111</definedName>
    <definedName name="PS1_Iin" comment="The APV will log the Power Rail input current for the PS1 test.">'Static LL'!$Q$41</definedName>
    <definedName name="PS1_ILoad">'Static LL'!$M$41</definedName>
    <definedName name="PS1_Iout" comment="The APV will log the SVID Iout for the PS1 test.">'Static LL'!$R$41</definedName>
    <definedName name="PS1_PS0_200uS_to_400uS" comment="Voltage measurement from the bottom of ripple in PS1 to the bottom of droop or ripple in PS0.">'Transient LL'!$N$143</definedName>
    <definedName name="PS1_PS0_300hz" comment="The AVP will save the 300hz transient step for the PS1 to PS0 modes.">'Transient LL'!$P$133</definedName>
    <definedName name="PS1_Ripple" comment="The APV will log the VR Ripple for the PS1 test.">'Static LL'!$O$41</definedName>
    <definedName name="PS1_Slow_0A_Vdown" comment="Screen shot of Dynamic VID voltage decrease.">'Dynamic VID '!$Y$104</definedName>
    <definedName name="PS1_Slow_10A_undershoot" comment="The APV will log undershoot meadurement.">'Dynamic VID '!$M$117</definedName>
    <definedName name="PS1_to_PS0_V_Droop" comment="The APV will log VR V Droop voltage level while running in PS1 to PS0 Modes.">'Transient LL'!$F$145</definedName>
    <definedName name="PS1_to_PS0_V_Start" comment="The APV will log VR V Start voltage level while running in PS1 to PS0 Modes.">'Transient LL'!$F$141</definedName>
    <definedName name="PS1_V_Droop" comment="The APV will log the V Droop voltage measurement while in PS1 Transient.">'Transient LL'!$F$86</definedName>
    <definedName name="PS1_V_Start" comment="The APV will log the V Start voltage measurement while in PS1 Transient.">'Transient LL'!$F$82</definedName>
    <definedName name="PS1_Vin" comment="The APV will log the input voltage for the PS1 test.">'Static LL'!$P$41</definedName>
    <definedName name="PS1_VRout" comment="The APV will log the VR voltage output for the PS1 test.">'Static LL'!$N$41</definedName>
    <definedName name="PS2_300hz" comment="The AVP will save the 300hz transient step.">'Transient LL'!$P$103</definedName>
    <definedName name="PS2_Decay_2A_undershoot" comment="The APV will log the undershoot.">'Dynamic VID '!$M$149</definedName>
    <definedName name="PS2_Droop" comment="The AVP will save the worst case droop transient step.">'Transient LL'!$Y$103</definedName>
    <definedName name="PS2_Fast_2A_5uS" comment="The APV will log the voltage lecel 5uS after ALERT# asserts.">'Dynamic VID '!$M$146</definedName>
    <definedName name="PS2_Fast_2A_Static_V" comment="The APV will log the static voltage.">'Dynamic VID '!$M$139</definedName>
    <definedName name="PS2_Fast_2A_up" comment="The APV will log the time duration from CSO# to Alert assetion.">'Dynamic VID '!$M$143</definedName>
    <definedName name="PS2_Fast_2A_Vup" comment="Screen shot of Dynamic VID voltage increase.">'Dynamic VID '!$P$135</definedName>
    <definedName name="PS2_Iin" comment="The APV will log the Power Rail Input Current while in PS2.">'Static LL'!$S$70</definedName>
    <definedName name="PS2_ILoad">'Static LL'!$M$70</definedName>
    <definedName name="PS2_Iout" comment="The APV will log the SVID Iout while in PS2.">'Static LL'!$T$70</definedName>
    <definedName name="PS2_minus_Ripple" comment="The APV will log the VR minus Ripple while in PS2.">'Static LL'!$P$70</definedName>
    <definedName name="PS2_pkpk_Ripple" comment="The APV will log VR pk-pk Ripple while in PS2.">'Static LL'!$O$70</definedName>
    <definedName name="PS2_plus_Ripple" comment="The APV will log the VR plus Ripple while in PS2.">'Static LL'!$Q$70</definedName>
    <definedName name="PS2_PS0_200uS_to_400uS" comment="Voltage measurement from the bottom of ripple in PS2 to the bottom of droop or ripple in PS0.">'Transient LL'!$N$175</definedName>
    <definedName name="PS2_PS0_300hz" comment="The AVP will save the 300hz transient step for the PS2 to PS0 modes.">'Transient LL'!$P$165</definedName>
    <definedName name="PS2_Slow_2A_Vdown" comment="Screen shot of Dynamic VID voltage decrease.">'Dynamic VID '!$Y$135</definedName>
    <definedName name="PS2_to_PS0_V_Droop" comment="The APV will log VR V Droop voltage level while running in PS2 to PS0 Modes.">'Transient LL'!$F$177</definedName>
    <definedName name="PS2_to_PS0_V_Start" comment="The APV will log VR V Start voltage level while running in PS2 to PS0 Modes.">'Transient LL'!$F$173</definedName>
    <definedName name="PS2_V_Droop" comment="The APV will log VR V Droop voltage level while in PS2 Mode.">'Transient LL'!$F$115</definedName>
    <definedName name="PS2_V_Start" comment="The APV will log VR V Start voltage level while in PS2 Mode.">'Transient LL'!$F$111</definedName>
    <definedName name="PS2_Vin" comment="The APV will log the Power Rail voltage input while in PS2.">'Static LL'!$R$70</definedName>
    <definedName name="PS2_VRout" comment="The APV will log the VR voltage output while in PS2.">'Static LL'!$N$70</definedName>
    <definedName name="PS3_Decay_1A_undershoot" comment="The APV will log the undershoot.">'Dynamic VID '!$M$181</definedName>
    <definedName name="PS3_Decay_1A_Vdown" comment="Screen shot of Dynamic VID decreasing.">'Dynamic VID '!$Y$167</definedName>
    <definedName name="PS3_Fast_1A_5uS" comment="The APV will log the voltage level 5uS after ALERT# asserts.">'Dynamic VID '!$M$178</definedName>
    <definedName name="PS3_Fast_1A_Static_V" comment="The APV will log the static voltage.">'Dynamic VID '!$M$171</definedName>
    <definedName name="PS3_Fast_1A_up" comment="The APV will log the time duration from CSO# to Alert assertion.">'Dynamic VID '!$M$175</definedName>
    <definedName name="PS3_Fast_1A_Vup" comment="Screen shot of Dynamic VID increasing">'Dynamic VID '!$P$167</definedName>
    <definedName name="PS3_Iin" comment="The APV will log the Power Rail input current while in PS3.">'Static LL'!$S$99</definedName>
    <definedName name="PS3_ILoad">'Static LL'!$M$99</definedName>
    <definedName name="PS3_Iout" comment="The APV will log the SVID Iout while in PS3.">'Static LL'!$T$99</definedName>
    <definedName name="PS3_minus_Ripple" comment="The APV will log the VR minus Ripple while in PS3.">'Static LL'!$P$99</definedName>
    <definedName name="PS3_pkpk_Ripple" comment="The APV will log the VR pk-pk Ripple while in PS3.">'Static LL'!$O$99</definedName>
    <definedName name="PS3_plus_Ripple" comment="The APV will log the VR plus Ripple while in PS3.">'Static LL'!$Q$99</definedName>
    <definedName name="PS3_PS0_200us_to_400us" comment="Voltage measurement from the bottom of ripple in PS3 to the bottom of droop or ripple in PS0.">'Transient LL'!$N$208</definedName>
    <definedName name="PS3_PS0_300hz" comment="The AVP will save the 300hz transient step for the PS3 to PS0 modes.">'Transient LL'!$P$198</definedName>
    <definedName name="PS3_PS0_V_Droop" comment="The APV will log VR V Droop voltage level while running in PS3 to PS0 Modes.">'Transient LL'!$F$210</definedName>
    <definedName name="PS3_PS0_V_Start" comment="The APV will log VR V Start voltage level while running in PS3 to PS0 Modes.">'Transient LL'!$F$206</definedName>
    <definedName name="PS3_Vin" comment="The APV will log the Power Rail input voltage while in PS3.">'Static LL'!$R$99</definedName>
    <definedName name="PS3_VRout" comment="The APV will log the VR voltage output while in PS3.">'Static LL'!$N$99</definedName>
    <definedName name="PS4_Fast_1A_up" comment="The APV will log the time duration from CSO# to Alert assertion.">'Dynamic VID '!$M$206</definedName>
    <definedName name="PS4_Fast_1A_Vup">'Dynamic VID '!$P$199</definedName>
    <definedName name="PSYS_eight" localSheetId="7">Psys!#REF!</definedName>
    <definedName name="PSYS_eight">#REF!</definedName>
    <definedName name="PSYS_eleven" localSheetId="7">Psys!#REF!</definedName>
    <definedName name="PSYS_eleven">#REF!</definedName>
    <definedName name="PSYS_five" localSheetId="7">Psys!#REF!</definedName>
    <definedName name="PSYS_five">#REF!</definedName>
    <definedName name="PSYS_four" localSheetId="7">Psys!#REF!</definedName>
    <definedName name="PSYS_four">#REF!</definedName>
    <definedName name="PSYS_fourteen" localSheetId="7">Psys!#REF!</definedName>
    <definedName name="PSYS_fourteen">#REF!</definedName>
    <definedName name="PSYS_nine" localSheetId="7">Psys!#REF!</definedName>
    <definedName name="PSYS_nine">#REF!</definedName>
    <definedName name="PSYS_one" localSheetId="7">Psys!#REF!</definedName>
    <definedName name="PSYS_one">#REF!</definedName>
    <definedName name="Psys_Pmax" comment="the max power for a platform, PL4 + ROPmax">Psys!$N$2</definedName>
    <definedName name="PSYS_seven" localSheetId="7">Psys!#REF!</definedName>
    <definedName name="PSYS_seven">#REF!</definedName>
    <definedName name="PSYS_six" localSheetId="7">Psys!#REF!</definedName>
    <definedName name="PSYS_six">#REF!</definedName>
    <definedName name="PSYS_ten" localSheetId="7">Psys!#REF!</definedName>
    <definedName name="PSYS_ten">#REF!</definedName>
    <definedName name="PSYS_thirteen" localSheetId="7">Psys!#REF!</definedName>
    <definedName name="PSYS_thirteen">#REF!</definedName>
    <definedName name="PSYS_three" localSheetId="7">Psys!#REF!</definedName>
    <definedName name="PSYS_three">#REF!</definedName>
    <definedName name="PSYS_twelve" localSheetId="7">Psys!#REF!</definedName>
    <definedName name="PSYS_twelve">#REF!</definedName>
    <definedName name="PSYS_two" localSheetId="7">Psys!#REF!</definedName>
    <definedName name="PSYS_two">#REF!</definedName>
    <definedName name="PSYS_V_Max">#REF!</definedName>
    <definedName name="PSYS_zero" localSheetId="7">Psys!$H$6</definedName>
    <definedName name="PSYS_zero">#REF!</definedName>
    <definedName name="R_AC_LL">'Spec Entry'!$D$33</definedName>
    <definedName name="R_AC_LL_max">'Spec Entry'!$D$82</definedName>
    <definedName name="R_AC_LL_max_PS1">'Spec Entry'!$D$83</definedName>
    <definedName name="R_AC_LL_max_PS2">'Spec Entry'!$D$84</definedName>
    <definedName name="R_AC_LL_OS_IccMAX">'Spec Entry'!$D$76</definedName>
    <definedName name="R_AC_LL_OS_IccMAX_App">'Spec Entry'!$D$77</definedName>
    <definedName name="R_DC_LL">'Spec Entry'!$D$32</definedName>
    <definedName name="R_DC_LL_max_PS1">'Spec Entry'!$D$78</definedName>
    <definedName name="R_DC_LL_max_PS2">'Spec Entry'!$D$80</definedName>
    <definedName name="R_DC_LL_min_PS1">'Spec Entry'!$D$79</definedName>
    <definedName name="R_DC_LL_min_PS2">'Spec Entry'!$D$81</definedName>
    <definedName name="R_LL_MAX">'Spec Entry'!$D$74</definedName>
    <definedName name="R_LL_MIN">'Spec Entry'!$D$75</definedName>
    <definedName name="Rail">'Spec Entry'!$D$4</definedName>
    <definedName name="Ripple_PS0">'Spec Entry'!$D$54</definedName>
    <definedName name="Ripple_PS1">'Spec Entry'!$D$55</definedName>
    <definedName name="Ripple_PS2">'Spec Entry'!$D$56</definedName>
    <definedName name="Ripple_PS2_N">'Spec Entry'!$D$57</definedName>
    <definedName name="Ripple_PS3">'Spec Entry'!$D$58</definedName>
    <definedName name="Ripple_PS3_N">'Spec Entry'!$D$59</definedName>
    <definedName name="Rpsys" comment="Psys resistor value on the MVP8 module">Psys!$K$2</definedName>
    <definedName name="SetVID_FAST">'Spec Entry'!$D$67</definedName>
    <definedName name="SetVID_Slow">'Spec Entry'!$D$68</definedName>
    <definedName name="Slope">'IOUT Calcs'!$O$16</definedName>
    <definedName name="T_OVS_Max_IccMAX" comment="This is the maximum allowed duration for IccMAX Current Step.">'Spec Entry'!$D$61</definedName>
    <definedName name="T_OVS_Max_IccMAX_App" comment="Maximum overshoot time for IccMAX_App.">'Spec Entry'!$D$63</definedName>
    <definedName name="T_UDS_MAX">'Spec Entry'!$D$70</definedName>
    <definedName name="TC_data" comment="This is the cell name to have actual test data inserted from APV.">'Thermal Comp'!$G$12</definedName>
    <definedName name="TC_VR_Hot">'Thermal Comp'!$G$38</definedName>
    <definedName name="V_OVS_IccMAX" comment="This is the maximum allowed overshoot for IccMAX Current Step.">'Spec Entry'!$D$60</definedName>
    <definedName name="V_OVS_IccMAX_App" comment="This vairiable changed from V_OVS to what is listed now. The change was done for Skylake and will test Overshoot for the IccMAZ_App current step.">'Spec Entry'!$D$62</definedName>
    <definedName name="V_TOB_IMAX_in_PS0">'Spec Entry'!$D$50</definedName>
    <definedName name="V_TOB_Imax_PS1">'Spec Entry'!$D$51</definedName>
    <definedName name="V_TOB_Imax_PS2">'Spec Entry'!$D$52</definedName>
    <definedName name="V_TOB_Imax_PS3">'Spec Entry'!$D$53</definedName>
    <definedName name="V_TOB_IMAX_VID1">'Spec Entry'!$D$65</definedName>
    <definedName name="V_TOB_Imin">'Spec Entry'!$D$40</definedName>
    <definedName name="V_Undershoot">'Spec Entry'!$D$69</definedName>
    <definedName name="Validation">'Spec Entry'!$G$28</definedName>
    <definedName name="VID_1">'Spec Entry'!$D$44</definedName>
    <definedName name="VID_2">'Spec Entry'!$D$45</definedName>
    <definedName name="VID_3">'Spec Entry'!$D$46</definedName>
    <definedName name="VR_TDC">'Spec Entry'!$D$35</definedName>
    <definedName name="VR_Ver">'Spec Entry'!$D$10</definedName>
    <definedName name="Y_Line">'Spec Entry'!$A$15:$A$16</definedName>
  </definedNames>
  <calcPr calcId="125725"/>
</workbook>
</file>

<file path=xl/calcChain.xml><?xml version="1.0" encoding="utf-8"?>
<calcChain xmlns="http://schemas.openxmlformats.org/spreadsheetml/2006/main">
  <c r="M46" i="2"/>
  <c r="T12" l="1"/>
  <c r="T13"/>
  <c r="T14"/>
  <c r="T15"/>
  <c r="D61" i="1" l="1"/>
  <c r="D60"/>
  <c r="F47" i="3" l="1"/>
  <c r="H47" l="1"/>
  <c r="F9"/>
  <c r="D86" i="1" l="1"/>
  <c r="F36" i="11" l="1"/>
  <c r="F10" l="1"/>
  <c r="I175" i="4" l="1"/>
  <c r="B175"/>
  <c r="N2" i="36" l="1"/>
  <c r="H19" s="1"/>
  <c r="H9" l="1"/>
  <c r="H13"/>
  <c r="H17"/>
  <c r="H14"/>
  <c r="H7"/>
  <c r="H11"/>
  <c r="H15"/>
  <c r="H18"/>
  <c r="H16"/>
  <c r="H10"/>
  <c r="H8"/>
  <c r="H12"/>
  <c r="B19" l="1"/>
  <c r="B8" l="1"/>
  <c r="B12"/>
  <c r="B16"/>
  <c r="B14"/>
  <c r="B7"/>
  <c r="B9"/>
  <c r="B13"/>
  <c r="B17"/>
  <c r="B10"/>
  <c r="B11"/>
  <c r="B18"/>
  <c r="B15"/>
  <c r="F19"/>
  <c r="E19" s="1"/>
  <c r="F18" l="1"/>
  <c r="E18" s="1"/>
  <c r="F17"/>
  <c r="E17" s="1"/>
  <c r="F16"/>
  <c r="E16" s="1"/>
  <c r="F15"/>
  <c r="E15" s="1"/>
  <c r="F14"/>
  <c r="E14" s="1"/>
  <c r="F13"/>
  <c r="E13" s="1"/>
  <c r="F12"/>
  <c r="E12" s="1"/>
  <c r="F11"/>
  <c r="E11" s="1"/>
  <c r="F10"/>
  <c r="E10" s="1"/>
  <c r="F9"/>
  <c r="E9" s="1"/>
  <c r="F8"/>
  <c r="E8" s="1"/>
  <c r="F7"/>
  <c r="E7" s="1"/>
  <c r="P2" l="1"/>
  <c r="J100" i="13"/>
  <c r="I9" i="36" l="1"/>
  <c r="I13"/>
  <c r="I19"/>
  <c r="I10"/>
  <c r="I14"/>
  <c r="I7"/>
  <c r="I11"/>
  <c r="I8"/>
  <c r="I12"/>
  <c r="I15"/>
  <c r="I18"/>
  <c r="I16"/>
  <c r="I17"/>
  <c r="D64" i="1"/>
  <c r="I179" i="4" l="1"/>
  <c r="B179"/>
  <c r="AQ100" i="2" l="1"/>
  <c r="AQ71"/>
  <c r="E109" i="5" l="1"/>
  <c r="D40" i="13" l="1"/>
  <c r="E77" l="1"/>
  <c r="O77" s="1"/>
  <c r="F53"/>
  <c r="F52"/>
  <c r="F51"/>
  <c r="F50"/>
  <c r="F49"/>
  <c r="F48"/>
  <c r="F47"/>
  <c r="F46"/>
  <c r="F45"/>
  <c r="F44"/>
  <c r="F43"/>
  <c r="E140" i="5" l="1"/>
  <c r="E11"/>
  <c r="E41"/>
  <c r="H201" i="3" l="1"/>
  <c r="H168"/>
  <c r="H136"/>
  <c r="I169" i="4" l="1"/>
  <c r="I168"/>
  <c r="B169"/>
  <c r="B168"/>
  <c r="M215" i="5"/>
  <c r="M214"/>
  <c r="H215"/>
  <c r="H214"/>
  <c r="E202"/>
  <c r="L210" s="1"/>
  <c r="H213"/>
  <c r="L208" l="1"/>
  <c r="D87" i="1" l="1"/>
  <c r="D88" s="1"/>
  <c r="E12" i="13" l="1"/>
  <c r="E6"/>
  <c r="I142" i="4" l="1"/>
  <c r="I140"/>
  <c r="B142"/>
  <c r="B140"/>
  <c r="B97" l="1"/>
  <c r="I94"/>
  <c r="B94"/>
  <c r="I92"/>
  <c r="B92"/>
  <c r="I91"/>
  <c r="B91"/>
  <c r="B90"/>
  <c r="B78"/>
  <c r="I59"/>
  <c r="I57"/>
  <c r="B59"/>
  <c r="B57"/>
  <c r="E5" i="33" l="1"/>
  <c r="A1" i="32" l="1"/>
  <c r="A2"/>
  <c r="B2"/>
  <c r="C2"/>
  <c r="C3" s="1"/>
  <c r="B5"/>
  <c r="C5"/>
  <c r="D5"/>
  <c r="E5"/>
  <c r="F5"/>
  <c r="G5"/>
  <c r="H5"/>
  <c r="I5"/>
  <c r="J5"/>
  <c r="K5"/>
  <c r="Q5"/>
  <c r="B6"/>
  <c r="C6"/>
  <c r="D6"/>
  <c r="E6"/>
  <c r="F6"/>
  <c r="G6"/>
  <c r="H6"/>
  <c r="I6"/>
  <c r="J6"/>
  <c r="K6"/>
  <c r="B7"/>
  <c r="C7"/>
  <c r="D7"/>
  <c r="E7"/>
  <c r="F7"/>
  <c r="G7"/>
  <c r="H7"/>
  <c r="I7"/>
  <c r="J7"/>
  <c r="K7"/>
  <c r="B8"/>
  <c r="C8"/>
  <c r="D8"/>
  <c r="E8"/>
  <c r="F8"/>
  <c r="G8"/>
  <c r="H8"/>
  <c r="I8"/>
  <c r="J8"/>
  <c r="K8"/>
  <c r="B9"/>
  <c r="C9"/>
  <c r="D9"/>
  <c r="E9"/>
  <c r="F9"/>
  <c r="G9"/>
  <c r="H9"/>
  <c r="I9"/>
  <c r="J9"/>
  <c r="K9"/>
  <c r="B10"/>
  <c r="C10"/>
  <c r="D10"/>
  <c r="E10"/>
  <c r="F10"/>
  <c r="G10"/>
  <c r="H10"/>
  <c r="I10"/>
  <c r="J10"/>
  <c r="K10"/>
  <c r="B11"/>
  <c r="C11"/>
  <c r="D11"/>
  <c r="E11"/>
  <c r="F11"/>
  <c r="G11"/>
  <c r="H11"/>
  <c r="I11"/>
  <c r="J11"/>
  <c r="K11"/>
  <c r="B12"/>
  <c r="C12"/>
  <c r="D12"/>
  <c r="E12"/>
  <c r="F12"/>
  <c r="G12"/>
  <c r="H12"/>
  <c r="I12"/>
  <c r="J12"/>
  <c r="K12"/>
  <c r="B13"/>
  <c r="C13"/>
  <c r="D13"/>
  <c r="E13"/>
  <c r="F13"/>
  <c r="G13"/>
  <c r="H13"/>
  <c r="I13"/>
  <c r="J13"/>
  <c r="K13"/>
  <c r="B14"/>
  <c r="C14"/>
  <c r="D14"/>
  <c r="E14"/>
  <c r="F14"/>
  <c r="G14"/>
  <c r="H14"/>
  <c r="I14"/>
  <c r="J14"/>
  <c r="K14"/>
  <c r="B15"/>
  <c r="C15"/>
  <c r="D15"/>
  <c r="E15"/>
  <c r="F15"/>
  <c r="G15"/>
  <c r="H15"/>
  <c r="I15"/>
  <c r="J15"/>
  <c r="K15"/>
  <c r="B16"/>
  <c r="C16"/>
  <c r="D16"/>
  <c r="E16"/>
  <c r="F16"/>
  <c r="G16"/>
  <c r="H16"/>
  <c r="I16"/>
  <c r="J16"/>
  <c r="K16"/>
  <c r="B17"/>
  <c r="C17"/>
  <c r="D17"/>
  <c r="E17"/>
  <c r="F17"/>
  <c r="G17"/>
  <c r="H17"/>
  <c r="I17"/>
  <c r="J17"/>
  <c r="K17"/>
  <c r="B18"/>
  <c r="C18"/>
  <c r="D18"/>
  <c r="E18"/>
  <c r="F18"/>
  <c r="G18"/>
  <c r="H18"/>
  <c r="I18"/>
  <c r="J18"/>
  <c r="K18"/>
  <c r="B19"/>
  <c r="C19"/>
  <c r="D19"/>
  <c r="E19"/>
  <c r="F19"/>
  <c r="G19"/>
  <c r="H19"/>
  <c r="I19"/>
  <c r="J19"/>
  <c r="K19"/>
  <c r="B20"/>
  <c r="C20"/>
  <c r="D20"/>
  <c r="E20"/>
  <c r="F20"/>
  <c r="G20"/>
  <c r="H20"/>
  <c r="I20"/>
  <c r="J20"/>
  <c r="K20"/>
  <c r="B21"/>
  <c r="C21"/>
  <c r="D21"/>
  <c r="E21"/>
  <c r="F21"/>
  <c r="G21"/>
  <c r="H21"/>
  <c r="I21"/>
  <c r="J21"/>
  <c r="K21"/>
  <c r="B22"/>
  <c r="C22"/>
  <c r="D22"/>
  <c r="E22"/>
  <c r="F22"/>
  <c r="G22"/>
  <c r="H22"/>
  <c r="I22"/>
  <c r="J22"/>
  <c r="K22"/>
  <c r="B23"/>
  <c r="C23"/>
  <c r="D23"/>
  <c r="E23"/>
  <c r="F23"/>
  <c r="G23"/>
  <c r="H23"/>
  <c r="I23"/>
  <c r="J23"/>
  <c r="K23"/>
  <c r="B24"/>
  <c r="C24"/>
  <c r="D24"/>
  <c r="E24"/>
  <c r="F24"/>
  <c r="G24"/>
  <c r="H24"/>
  <c r="I24"/>
  <c r="J24"/>
  <c r="K24"/>
  <c r="B25"/>
  <c r="C25"/>
  <c r="D25"/>
  <c r="E25"/>
  <c r="F25"/>
  <c r="G25"/>
  <c r="H25"/>
  <c r="I25"/>
  <c r="J25"/>
  <c r="K25"/>
  <c r="B26"/>
  <c r="C26"/>
  <c r="D26"/>
  <c r="E26"/>
  <c r="F26"/>
  <c r="G26"/>
  <c r="H26"/>
  <c r="I26"/>
  <c r="J26"/>
  <c r="K26"/>
  <c r="B27"/>
  <c r="C27"/>
  <c r="D27"/>
  <c r="E27"/>
  <c r="F27"/>
  <c r="G27"/>
  <c r="H27"/>
  <c r="I27"/>
  <c r="J27"/>
  <c r="K27"/>
  <c r="B28"/>
  <c r="C28"/>
  <c r="D28"/>
  <c r="E28"/>
  <c r="F28"/>
  <c r="G28"/>
  <c r="H28"/>
  <c r="I28"/>
  <c r="J28"/>
  <c r="K28"/>
  <c r="B29"/>
  <c r="C29"/>
  <c r="D29"/>
  <c r="E29"/>
  <c r="F29"/>
  <c r="G29"/>
  <c r="H29"/>
  <c r="I29"/>
  <c r="J29"/>
  <c r="K29"/>
  <c r="B30"/>
  <c r="C30"/>
  <c r="D30"/>
  <c r="E30"/>
  <c r="F30"/>
  <c r="G30"/>
  <c r="H30"/>
  <c r="I30"/>
  <c r="J30"/>
  <c r="K30"/>
  <c r="B31"/>
  <c r="C31"/>
  <c r="D31"/>
  <c r="E31"/>
  <c r="F31"/>
  <c r="G31"/>
  <c r="H31"/>
  <c r="I31"/>
  <c r="J31"/>
  <c r="K31"/>
  <c r="B32"/>
  <c r="C32"/>
  <c r="D32"/>
  <c r="E32"/>
  <c r="F32"/>
  <c r="G32"/>
  <c r="H32"/>
  <c r="I32"/>
  <c r="J32"/>
  <c r="K32"/>
  <c r="B33"/>
  <c r="C33"/>
  <c r="D33"/>
  <c r="E33"/>
  <c r="F33"/>
  <c r="G33"/>
  <c r="H33"/>
  <c r="I33"/>
  <c r="J33"/>
  <c r="K33"/>
  <c r="B34"/>
  <c r="C34"/>
  <c r="D34"/>
  <c r="E34"/>
  <c r="F34"/>
  <c r="G34"/>
  <c r="H34"/>
  <c r="I34"/>
  <c r="J34"/>
  <c r="K34"/>
  <c r="B35"/>
  <c r="C35"/>
  <c r="D35"/>
  <c r="E35"/>
  <c r="F35"/>
  <c r="G35"/>
  <c r="H35"/>
  <c r="I35"/>
  <c r="J35"/>
  <c r="K35"/>
  <c r="B36"/>
  <c r="C36"/>
  <c r="D36"/>
  <c r="E36"/>
  <c r="F36"/>
  <c r="G36"/>
  <c r="H36"/>
  <c r="I36"/>
  <c r="J36"/>
  <c r="K36"/>
  <c r="B37"/>
  <c r="C37"/>
  <c r="D37"/>
  <c r="E37"/>
  <c r="F37"/>
  <c r="G37"/>
  <c r="H37"/>
  <c r="I37"/>
  <c r="J37"/>
  <c r="K37"/>
  <c r="B38"/>
  <c r="C38"/>
  <c r="D38"/>
  <c r="E38"/>
  <c r="F38"/>
  <c r="G38"/>
  <c r="H38"/>
  <c r="I38"/>
  <c r="J38"/>
  <c r="K38"/>
  <c r="B39"/>
  <c r="C39"/>
  <c r="D39"/>
  <c r="E39"/>
  <c r="F39"/>
  <c r="G39"/>
  <c r="H39"/>
  <c r="I39"/>
  <c r="J39"/>
  <c r="K39"/>
  <c r="B43"/>
  <c r="C43"/>
  <c r="D43"/>
  <c r="E43"/>
  <c r="F43"/>
  <c r="G43"/>
  <c r="H43"/>
  <c r="I43"/>
  <c r="J43"/>
  <c r="K43"/>
  <c r="B44"/>
  <c r="C44"/>
  <c r="D44"/>
  <c r="E44"/>
  <c r="F44"/>
  <c r="G44"/>
  <c r="H44"/>
  <c r="I44"/>
  <c r="J44"/>
  <c r="K44"/>
  <c r="B45"/>
  <c r="C45"/>
  <c r="D45"/>
  <c r="E45"/>
  <c r="F45"/>
  <c r="G45"/>
  <c r="H45"/>
  <c r="I45"/>
  <c r="J45"/>
  <c r="K45"/>
  <c r="B46"/>
  <c r="C46"/>
  <c r="D46"/>
  <c r="E46"/>
  <c r="F46"/>
  <c r="G46"/>
  <c r="H46"/>
  <c r="I46"/>
  <c r="J46"/>
  <c r="K46"/>
  <c r="B47"/>
  <c r="C47"/>
  <c r="D47"/>
  <c r="E47"/>
  <c r="F47"/>
  <c r="G47"/>
  <c r="H47"/>
  <c r="I47"/>
  <c r="J47"/>
  <c r="K47"/>
  <c r="B50"/>
  <c r="C50"/>
  <c r="D50"/>
  <c r="E50"/>
  <c r="F50"/>
  <c r="G50"/>
  <c r="H50"/>
  <c r="I50"/>
  <c r="J50"/>
  <c r="K50"/>
  <c r="B51"/>
  <c r="C51"/>
  <c r="D51"/>
  <c r="E51"/>
  <c r="F51"/>
  <c r="G51"/>
  <c r="H51"/>
  <c r="I51"/>
  <c r="J51"/>
  <c r="K51"/>
  <c r="B52"/>
  <c r="C52"/>
  <c r="D52"/>
  <c r="E52"/>
  <c r="F52"/>
  <c r="G52"/>
  <c r="H52"/>
  <c r="I52"/>
  <c r="J52"/>
  <c r="K52"/>
  <c r="B53"/>
  <c r="C53"/>
  <c r="D53"/>
  <c r="E53"/>
  <c r="F53"/>
  <c r="G53"/>
  <c r="H53"/>
  <c r="I53"/>
  <c r="J53"/>
  <c r="K53"/>
  <c r="B54"/>
  <c r="C54"/>
  <c r="D54"/>
  <c r="E54"/>
  <c r="F54"/>
  <c r="G54"/>
  <c r="H54"/>
  <c r="I54"/>
  <c r="J54"/>
  <c r="K54"/>
  <c r="A62"/>
  <c r="B79"/>
  <c r="Q10" s="1"/>
  <c r="J68" l="1"/>
  <c r="J109" s="1"/>
  <c r="B93"/>
  <c r="B134" s="1"/>
  <c r="D90"/>
  <c r="D131" s="1"/>
  <c r="C73"/>
  <c r="C114" s="1"/>
  <c r="D97"/>
  <c r="D138" s="1"/>
  <c r="I84"/>
  <c r="I125" s="1"/>
  <c r="B95"/>
  <c r="B136" s="1"/>
  <c r="F98"/>
  <c r="F139" s="1"/>
  <c r="D94"/>
  <c r="D135" s="1"/>
  <c r="F89"/>
  <c r="F130" s="1"/>
  <c r="K77"/>
  <c r="K118" s="1"/>
  <c r="I97"/>
  <c r="I138" s="1"/>
  <c r="G94"/>
  <c r="G135" s="1"/>
  <c r="G90"/>
  <c r="G131" s="1"/>
  <c r="D98"/>
  <c r="D139" s="1"/>
  <c r="I96"/>
  <c r="I137" s="1"/>
  <c r="H93"/>
  <c r="H134" s="1"/>
  <c r="F92"/>
  <c r="F133" s="1"/>
  <c r="I86"/>
  <c r="I127" s="1"/>
  <c r="A83"/>
  <c r="F77"/>
  <c r="F118" s="1"/>
  <c r="K70"/>
  <c r="K111" s="1"/>
  <c r="J98"/>
  <c r="J139" s="1"/>
  <c r="F96"/>
  <c r="F137" s="1"/>
  <c r="D95"/>
  <c r="D136" s="1"/>
  <c r="H91"/>
  <c r="H132" s="1"/>
  <c r="B68"/>
  <c r="B109" s="1"/>
  <c r="C97"/>
  <c r="C138" s="1"/>
  <c r="K92"/>
  <c r="K133" s="1"/>
  <c r="B83"/>
  <c r="B124" s="1"/>
  <c r="G71"/>
  <c r="G112" s="1"/>
  <c r="K98"/>
  <c r="K139" s="1"/>
  <c r="I95"/>
  <c r="I136" s="1"/>
  <c r="C92"/>
  <c r="C133" s="1"/>
  <c r="K88"/>
  <c r="K129" s="1"/>
  <c r="E87"/>
  <c r="E128" s="1"/>
  <c r="I75"/>
  <c r="I116" s="1"/>
  <c r="I73"/>
  <c r="I114" s="1"/>
  <c r="J97"/>
  <c r="J138" s="1"/>
  <c r="J95"/>
  <c r="J136" s="1"/>
  <c r="G93"/>
  <c r="G134" s="1"/>
  <c r="E91"/>
  <c r="E132" s="1"/>
  <c r="C85"/>
  <c r="C126" s="1"/>
  <c r="B80"/>
  <c r="B59" s="1"/>
  <c r="A63" s="1"/>
  <c r="A64" s="1"/>
  <c r="A65" s="1"/>
  <c r="A66" s="1"/>
  <c r="A67" s="1"/>
  <c r="A68" s="1"/>
  <c r="A69" s="1"/>
  <c r="A70" s="1"/>
  <c r="A71" s="1"/>
  <c r="A72" s="1"/>
  <c r="A73" s="1"/>
  <c r="A74" s="1"/>
  <c r="A75" s="1"/>
  <c r="A76" s="1"/>
  <c r="A77" s="1"/>
  <c r="D75"/>
  <c r="D116" s="1"/>
  <c r="B64"/>
  <c r="B105" s="1"/>
  <c r="K65"/>
  <c r="K106" s="1"/>
  <c r="D68"/>
  <c r="D109" s="1"/>
  <c r="C69"/>
  <c r="C110" s="1"/>
  <c r="J69"/>
  <c r="J110" s="1"/>
  <c r="F70"/>
  <c r="F111" s="1"/>
  <c r="C71"/>
  <c r="C112" s="1"/>
  <c r="H71"/>
  <c r="H112" s="1"/>
  <c r="D72"/>
  <c r="D113" s="1"/>
  <c r="I72"/>
  <c r="I113" s="1"/>
  <c r="E73"/>
  <c r="E114" s="1"/>
  <c r="J73"/>
  <c r="J114" s="1"/>
  <c r="D74"/>
  <c r="D115" s="1"/>
  <c r="J74"/>
  <c r="J115" s="1"/>
  <c r="E75"/>
  <c r="E116" s="1"/>
  <c r="K75"/>
  <c r="K116" s="1"/>
  <c r="F76"/>
  <c r="F117" s="1"/>
  <c r="B77"/>
  <c r="B118" s="1"/>
  <c r="G77"/>
  <c r="G118" s="1"/>
  <c r="D83"/>
  <c r="D124" s="1"/>
  <c r="I83"/>
  <c r="I124" s="1"/>
  <c r="E84"/>
  <c r="E125" s="1"/>
  <c r="J84"/>
  <c r="J125" s="1"/>
  <c r="D85"/>
  <c r="D126" s="1"/>
  <c r="J85"/>
  <c r="J126" s="1"/>
  <c r="E86"/>
  <c r="E127" s="1"/>
  <c r="K86"/>
  <c r="K127" s="1"/>
  <c r="F87"/>
  <c r="F128" s="1"/>
  <c r="B88"/>
  <c r="B129" s="1"/>
  <c r="G88"/>
  <c r="G129" s="1"/>
  <c r="B89"/>
  <c r="B130" s="1"/>
  <c r="G89"/>
  <c r="G130" s="1"/>
  <c r="C90"/>
  <c r="C131" s="1"/>
  <c r="H90"/>
  <c r="H131" s="1"/>
  <c r="D91"/>
  <c r="D132" s="1"/>
  <c r="I91"/>
  <c r="I132" s="1"/>
  <c r="E92"/>
  <c r="E133" s="1"/>
  <c r="J92"/>
  <c r="J133" s="1"/>
  <c r="D93"/>
  <c r="D134" s="1"/>
  <c r="J93"/>
  <c r="J134" s="1"/>
  <c r="E94"/>
  <c r="E135" s="1"/>
  <c r="K94"/>
  <c r="K135" s="1"/>
  <c r="F95"/>
  <c r="F136" s="1"/>
  <c r="B96"/>
  <c r="B137" s="1"/>
  <c r="G96"/>
  <c r="G137" s="1"/>
  <c r="B97"/>
  <c r="B138" s="1"/>
  <c r="G97"/>
  <c r="G138" s="1"/>
  <c r="K97"/>
  <c r="K138" s="1"/>
  <c r="E98"/>
  <c r="E139" s="1"/>
  <c r="I98"/>
  <c r="I139" s="1"/>
  <c r="D62"/>
  <c r="D103" s="1"/>
  <c r="F64"/>
  <c r="F105" s="1"/>
  <c r="H66"/>
  <c r="H107" s="1"/>
  <c r="F68"/>
  <c r="F109" s="1"/>
  <c r="E69"/>
  <c r="E110" s="1"/>
  <c r="K69"/>
  <c r="K110" s="1"/>
  <c r="H70"/>
  <c r="H111" s="1"/>
  <c r="D71"/>
  <c r="D112" s="1"/>
  <c r="I71"/>
  <c r="I112" s="1"/>
  <c r="E72"/>
  <c r="E113" s="1"/>
  <c r="J72"/>
  <c r="J113" s="1"/>
  <c r="F73"/>
  <c r="F114" s="1"/>
  <c r="K73"/>
  <c r="K114" s="1"/>
  <c r="F74"/>
  <c r="F115" s="1"/>
  <c r="K74"/>
  <c r="K115" s="1"/>
  <c r="G75"/>
  <c r="G116" s="1"/>
  <c r="B76"/>
  <c r="B117" s="1"/>
  <c r="H76"/>
  <c r="H117" s="1"/>
  <c r="C77"/>
  <c r="C118" s="1"/>
  <c r="I77"/>
  <c r="I118" s="1"/>
  <c r="E83"/>
  <c r="E124" s="1"/>
  <c r="J83"/>
  <c r="J124" s="1"/>
  <c r="F84"/>
  <c r="F125" s="1"/>
  <c r="K84"/>
  <c r="K125" s="1"/>
  <c r="F85"/>
  <c r="F126" s="1"/>
  <c r="K85"/>
  <c r="K126" s="1"/>
  <c r="G86"/>
  <c r="G127" s="1"/>
  <c r="B87"/>
  <c r="B128" s="1"/>
  <c r="H87"/>
  <c r="H128" s="1"/>
  <c r="C88"/>
  <c r="C129" s="1"/>
  <c r="I88"/>
  <c r="I129" s="1"/>
  <c r="C89"/>
  <c r="C130" s="1"/>
  <c r="H62"/>
  <c r="H103" s="1"/>
  <c r="C65"/>
  <c r="C106" s="1"/>
  <c r="E67"/>
  <c r="E108" s="1"/>
  <c r="I68"/>
  <c r="I109" s="1"/>
  <c r="F69"/>
  <c r="F110" s="1"/>
  <c r="C70"/>
  <c r="C111" s="1"/>
  <c r="J70"/>
  <c r="J111" s="1"/>
  <c r="E71"/>
  <c r="E112" s="1"/>
  <c r="K71"/>
  <c r="K112" s="1"/>
  <c r="F72"/>
  <c r="F113" s="1"/>
  <c r="B73"/>
  <c r="B114" s="1"/>
  <c r="G73"/>
  <c r="G114" s="1"/>
  <c r="B74"/>
  <c r="B115" s="1"/>
  <c r="G74"/>
  <c r="G115" s="1"/>
  <c r="C75"/>
  <c r="C116" s="1"/>
  <c r="H75"/>
  <c r="H116" s="1"/>
  <c r="D76"/>
  <c r="D117" s="1"/>
  <c r="I76"/>
  <c r="I117" s="1"/>
  <c r="E77"/>
  <c r="E118" s="1"/>
  <c r="J77"/>
  <c r="J118" s="1"/>
  <c r="F83"/>
  <c r="F124" s="1"/>
  <c r="B84"/>
  <c r="B125" s="1"/>
  <c r="G84"/>
  <c r="G125" s="1"/>
  <c r="B85"/>
  <c r="B126" s="1"/>
  <c r="G85"/>
  <c r="G126" s="1"/>
  <c r="C86"/>
  <c r="C127" s="1"/>
  <c r="H86"/>
  <c r="H127" s="1"/>
  <c r="D87"/>
  <c r="D128" s="1"/>
  <c r="I87"/>
  <c r="I128" s="1"/>
  <c r="E88"/>
  <c r="E129" s="1"/>
  <c r="J88"/>
  <c r="J129" s="1"/>
  <c r="D89"/>
  <c r="D130" s="1"/>
  <c r="J89"/>
  <c r="J130" s="1"/>
  <c r="E90"/>
  <c r="E131" s="1"/>
  <c r="K90"/>
  <c r="K131" s="1"/>
  <c r="F91"/>
  <c r="F132" s="1"/>
  <c r="H98"/>
  <c r="H139" s="1"/>
  <c r="C98"/>
  <c r="C139" s="1"/>
  <c r="H97"/>
  <c r="H138" s="1"/>
  <c r="K96"/>
  <c r="K137" s="1"/>
  <c r="E96"/>
  <c r="E137" s="1"/>
  <c r="H95"/>
  <c r="H136" s="1"/>
  <c r="I94"/>
  <c r="I135" s="1"/>
  <c r="C94"/>
  <c r="C135" s="1"/>
  <c r="F93"/>
  <c r="F134" s="1"/>
  <c r="I92"/>
  <c r="I133" s="1"/>
  <c r="B92"/>
  <c r="B133" s="1"/>
  <c r="B91"/>
  <c r="B132" s="1"/>
  <c r="K89"/>
  <c r="K130" s="1"/>
  <c r="F88"/>
  <c r="F129" s="1"/>
  <c r="D86"/>
  <c r="D127" s="1"/>
  <c r="C84"/>
  <c r="C125" s="1"/>
  <c r="J76"/>
  <c r="J117" s="1"/>
  <c r="H74"/>
  <c r="H115" s="1"/>
  <c r="H72"/>
  <c r="H113" s="1"/>
  <c r="D70"/>
  <c r="D111" s="1"/>
  <c r="G65"/>
  <c r="G106" s="1"/>
  <c r="G98"/>
  <c r="G139" s="1"/>
  <c r="B98"/>
  <c r="B139" s="1"/>
  <c r="F97"/>
  <c r="F138" s="1"/>
  <c r="J96"/>
  <c r="J137" s="1"/>
  <c r="C96"/>
  <c r="C137" s="1"/>
  <c r="E95"/>
  <c r="E136" s="1"/>
  <c r="H94"/>
  <c r="H135" s="1"/>
  <c r="K93"/>
  <c r="K134" s="1"/>
  <c r="C93"/>
  <c r="C134" s="1"/>
  <c r="G92"/>
  <c r="G133" s="1"/>
  <c r="J91"/>
  <c r="J132" s="1"/>
  <c r="I90"/>
  <c r="I131" s="1"/>
  <c r="H89"/>
  <c r="H130" s="1"/>
  <c r="J87"/>
  <c r="J128" s="1"/>
  <c r="H85"/>
  <c r="H126" s="1"/>
  <c r="H83"/>
  <c r="H124" s="1"/>
  <c r="E76"/>
  <c r="E117" s="1"/>
  <c r="C74"/>
  <c r="C115" s="1"/>
  <c r="B72"/>
  <c r="B113" s="1"/>
  <c r="I69"/>
  <c r="I110" s="1"/>
  <c r="I63"/>
  <c r="I104" s="1"/>
  <c r="Q9"/>
  <c r="E62"/>
  <c r="E103" s="1"/>
  <c r="I62"/>
  <c r="I103" s="1"/>
  <c r="B63"/>
  <c r="B104" s="1"/>
  <c r="F63"/>
  <c r="F104" s="1"/>
  <c r="J63"/>
  <c r="J104" s="1"/>
  <c r="C64"/>
  <c r="C105" s="1"/>
  <c r="G64"/>
  <c r="G105" s="1"/>
  <c r="K64"/>
  <c r="K105" s="1"/>
  <c r="D65"/>
  <c r="D106" s="1"/>
  <c r="H65"/>
  <c r="H106" s="1"/>
  <c r="E66"/>
  <c r="E107" s="1"/>
  <c r="I66"/>
  <c r="I107" s="1"/>
  <c r="B67"/>
  <c r="B108" s="1"/>
  <c r="F67"/>
  <c r="F108" s="1"/>
  <c r="J67"/>
  <c r="J108" s="1"/>
  <c r="C68"/>
  <c r="C109" s="1"/>
  <c r="G68"/>
  <c r="G109" s="1"/>
  <c r="K68"/>
  <c r="K109" s="1"/>
  <c r="D69"/>
  <c r="D110" s="1"/>
  <c r="H69"/>
  <c r="H110" s="1"/>
  <c r="E70"/>
  <c r="E111" s="1"/>
  <c r="I70"/>
  <c r="I111" s="1"/>
  <c r="B71"/>
  <c r="B112" s="1"/>
  <c r="F71"/>
  <c r="F112" s="1"/>
  <c r="J71"/>
  <c r="J112" s="1"/>
  <c r="C72"/>
  <c r="C113" s="1"/>
  <c r="G72"/>
  <c r="G113" s="1"/>
  <c r="K72"/>
  <c r="K113" s="1"/>
  <c r="D73"/>
  <c r="D114" s="1"/>
  <c r="H73"/>
  <c r="H114" s="1"/>
  <c r="E74"/>
  <c r="E115" s="1"/>
  <c r="I74"/>
  <c r="I115" s="1"/>
  <c r="B75"/>
  <c r="B116" s="1"/>
  <c r="F75"/>
  <c r="F116" s="1"/>
  <c r="J75"/>
  <c r="J116" s="1"/>
  <c r="C76"/>
  <c r="C117" s="1"/>
  <c r="G76"/>
  <c r="G117" s="1"/>
  <c r="K76"/>
  <c r="K117" s="1"/>
  <c r="D77"/>
  <c r="D118" s="1"/>
  <c r="H77"/>
  <c r="H118" s="1"/>
  <c r="C83"/>
  <c r="C124" s="1"/>
  <c r="G83"/>
  <c r="G124" s="1"/>
  <c r="K83"/>
  <c r="K124" s="1"/>
  <c r="D84"/>
  <c r="D125" s="1"/>
  <c r="H84"/>
  <c r="H125" s="1"/>
  <c r="E85"/>
  <c r="E126" s="1"/>
  <c r="I85"/>
  <c r="I126" s="1"/>
  <c r="B86"/>
  <c r="B127" s="1"/>
  <c r="F86"/>
  <c r="F127" s="1"/>
  <c r="J86"/>
  <c r="J127" s="1"/>
  <c r="C87"/>
  <c r="C128" s="1"/>
  <c r="G87"/>
  <c r="G128" s="1"/>
  <c r="K87"/>
  <c r="K128" s="1"/>
  <c r="D88"/>
  <c r="D129" s="1"/>
  <c r="H88"/>
  <c r="H129" s="1"/>
  <c r="E89"/>
  <c r="E130" s="1"/>
  <c r="I89"/>
  <c r="I130" s="1"/>
  <c r="B90"/>
  <c r="B131" s="1"/>
  <c r="F90"/>
  <c r="F131" s="1"/>
  <c r="J90"/>
  <c r="J131" s="1"/>
  <c r="C91"/>
  <c r="C132" s="1"/>
  <c r="G91"/>
  <c r="G132" s="1"/>
  <c r="K91"/>
  <c r="K132" s="1"/>
  <c r="D92"/>
  <c r="D133" s="1"/>
  <c r="H92"/>
  <c r="H133" s="1"/>
  <c r="E93"/>
  <c r="E134" s="1"/>
  <c r="I93"/>
  <c r="I134" s="1"/>
  <c r="B94"/>
  <c r="B135" s="1"/>
  <c r="F94"/>
  <c r="F135" s="1"/>
  <c r="J94"/>
  <c r="J135" s="1"/>
  <c r="C95"/>
  <c r="C136" s="1"/>
  <c r="G95"/>
  <c r="G136" s="1"/>
  <c r="K95"/>
  <c r="K136" s="1"/>
  <c r="D96"/>
  <c r="D137" s="1"/>
  <c r="H96"/>
  <c r="H137" s="1"/>
  <c r="E97"/>
  <c r="E138" s="1"/>
  <c r="B62"/>
  <c r="B103" s="1"/>
  <c r="F62"/>
  <c r="F103" s="1"/>
  <c r="J62"/>
  <c r="J103" s="1"/>
  <c r="C63"/>
  <c r="C104" s="1"/>
  <c r="G63"/>
  <c r="G104" s="1"/>
  <c r="K63"/>
  <c r="K104" s="1"/>
  <c r="D64"/>
  <c r="D105" s="1"/>
  <c r="H64"/>
  <c r="H105" s="1"/>
  <c r="E65"/>
  <c r="E106" s="1"/>
  <c r="I65"/>
  <c r="I106" s="1"/>
  <c r="B66"/>
  <c r="B107" s="1"/>
  <c r="F66"/>
  <c r="F107" s="1"/>
  <c r="J66"/>
  <c r="J107" s="1"/>
  <c r="C67"/>
  <c r="C108" s="1"/>
  <c r="G67"/>
  <c r="G108" s="1"/>
  <c r="K67"/>
  <c r="K108" s="1"/>
  <c r="C62"/>
  <c r="C103" s="1"/>
  <c r="G62"/>
  <c r="G103" s="1"/>
  <c r="K62"/>
  <c r="K103" s="1"/>
  <c r="D63"/>
  <c r="D104" s="1"/>
  <c r="H63"/>
  <c r="H104" s="1"/>
  <c r="E64"/>
  <c r="E105" s="1"/>
  <c r="I64"/>
  <c r="I105" s="1"/>
  <c r="B65"/>
  <c r="B106" s="1"/>
  <c r="F65"/>
  <c r="F106" s="1"/>
  <c r="J65"/>
  <c r="J106" s="1"/>
  <c r="C66"/>
  <c r="C107" s="1"/>
  <c r="G66"/>
  <c r="G107" s="1"/>
  <c r="K66"/>
  <c r="K107" s="1"/>
  <c r="D67"/>
  <c r="D108" s="1"/>
  <c r="H67"/>
  <c r="H108" s="1"/>
  <c r="E68"/>
  <c r="E109" s="1"/>
  <c r="G70"/>
  <c r="G111" s="1"/>
  <c r="B70"/>
  <c r="B111" s="1"/>
  <c r="G69"/>
  <c r="G110" s="1"/>
  <c r="B69"/>
  <c r="B110" s="1"/>
  <c r="H68"/>
  <c r="H109" s="1"/>
  <c r="I67"/>
  <c r="I108" s="1"/>
  <c r="D66"/>
  <c r="D107" s="1"/>
  <c r="J64"/>
  <c r="J105" s="1"/>
  <c r="E63"/>
  <c r="E104" s="1"/>
  <c r="Q6"/>
  <c r="I43" i="2"/>
  <c r="M43" s="1"/>
  <c r="E44" i="13" s="1"/>
  <c r="O44" s="1"/>
  <c r="S44" s="1"/>
  <c r="I13" i="2"/>
  <c r="I14" s="1"/>
  <c r="M14" s="1"/>
  <c r="E172" i="5"/>
  <c r="H186"/>
  <c r="H154"/>
  <c r="H90"/>
  <c r="H56"/>
  <c r="D191"/>
  <c r="B158" i="4" s="1"/>
  <c r="D186" i="5"/>
  <c r="H177"/>
  <c r="D159"/>
  <c r="B148" i="4" s="1"/>
  <c r="D154" i="5"/>
  <c r="H145"/>
  <c r="D127"/>
  <c r="B136" i="4" s="1"/>
  <c r="D122" i="5"/>
  <c r="H113"/>
  <c r="D95"/>
  <c r="B124" i="4" s="1"/>
  <c r="D90" i="5"/>
  <c r="H80"/>
  <c r="D61"/>
  <c r="B115" i="4" s="1"/>
  <c r="D56" i="5"/>
  <c r="D24"/>
  <c r="E171"/>
  <c r="E108"/>
  <c r="D29"/>
  <c r="B106" i="4" s="1"/>
  <c r="H15" i="5"/>
  <c r="H45"/>
  <c r="L206"/>
  <c r="E73"/>
  <c r="E40"/>
  <c r="M74" i="2"/>
  <c r="M71"/>
  <c r="E64" i="13" s="1"/>
  <c r="O64" s="1"/>
  <c r="M100" i="2"/>
  <c r="U100" s="1"/>
  <c r="F52"/>
  <c r="G52"/>
  <c r="M42"/>
  <c r="E43" i="13" s="1"/>
  <c r="O43" s="1"/>
  <c r="S43" s="1"/>
  <c r="M12" i="2"/>
  <c r="S12" s="1"/>
  <c r="D11" i="3"/>
  <c r="D49"/>
  <c r="D79"/>
  <c r="D235"/>
  <c r="D203"/>
  <c r="D170"/>
  <c r="D108"/>
  <c r="D138"/>
  <c r="H77"/>
  <c r="F77" s="1"/>
  <c r="I148"/>
  <c r="T11" i="2"/>
  <c r="AO12"/>
  <c r="E139" i="5"/>
  <c r="E10"/>
  <c r="P9" i="3"/>
  <c r="K9"/>
  <c r="A30" i="7" s="1"/>
  <c r="R9" i="3"/>
  <c r="M9"/>
  <c r="I31"/>
  <c r="N31"/>
  <c r="I29"/>
  <c r="I27"/>
  <c r="I8" i="4"/>
  <c r="B8"/>
  <c r="F9" i="11"/>
  <c r="D67" i="1"/>
  <c r="M24" i="5"/>
  <c r="N27" i="3"/>
  <c r="D65" i="1"/>
  <c r="B65"/>
  <c r="H9" i="3"/>
  <c r="J97" i="13"/>
  <c r="J99" s="1"/>
  <c r="AQ99" i="2"/>
  <c r="G203" i="3"/>
  <c r="G170"/>
  <c r="G138"/>
  <c r="G108"/>
  <c r="G79"/>
  <c r="G49"/>
  <c r="I213"/>
  <c r="I180"/>
  <c r="I218"/>
  <c r="I215"/>
  <c r="D201"/>
  <c r="F117" i="13"/>
  <c r="F116"/>
  <c r="E6" i="33" s="1"/>
  <c r="F115" i="13"/>
  <c r="F114"/>
  <c r="F113"/>
  <c r="F112"/>
  <c r="F111"/>
  <c r="F110"/>
  <c r="E7" i="33" s="1"/>
  <c r="F109" i="13"/>
  <c r="F108"/>
  <c r="J98"/>
  <c r="F118"/>
  <c r="M186" i="5"/>
  <c r="M154"/>
  <c r="M122"/>
  <c r="M90"/>
  <c r="M56"/>
  <c r="I167" i="4"/>
  <c r="B167"/>
  <c r="B166"/>
  <c r="B159"/>
  <c r="I159"/>
  <c r="M188" i="5"/>
  <c r="H188"/>
  <c r="B149" i="4"/>
  <c r="I149"/>
  <c r="M156" i="5"/>
  <c r="H156"/>
  <c r="B137" i="4"/>
  <c r="I137"/>
  <c r="H124" i="5"/>
  <c r="M124"/>
  <c r="B125" i="4"/>
  <c r="I125"/>
  <c r="H92" i="5"/>
  <c r="M92"/>
  <c r="B116" i="4"/>
  <c r="I116"/>
  <c r="H58" i="5"/>
  <c r="M58"/>
  <c r="B107" i="4"/>
  <c r="I107"/>
  <c r="M26" i="5"/>
  <c r="H26"/>
  <c r="AS89" i="2"/>
  <c r="AR59"/>
  <c r="B25" i="4" s="1"/>
  <c r="F35" i="11"/>
  <c r="F8"/>
  <c r="B127" i="4"/>
  <c r="I127"/>
  <c r="I9"/>
  <c r="B9"/>
  <c r="B32"/>
  <c r="AR31" i="2"/>
  <c r="B18" i="4" s="1"/>
  <c r="S77" i="13"/>
  <c r="AM99" i="2"/>
  <c r="AM70"/>
  <c r="E41"/>
  <c r="E42" s="1"/>
  <c r="G43" i="13"/>
  <c r="H43"/>
  <c r="I32" i="4"/>
  <c r="I25"/>
  <c r="I18"/>
  <c r="M29" i="2"/>
  <c r="AJ85"/>
  <c r="B29" i="4" s="1"/>
  <c r="AI52" i="2"/>
  <c r="B22" i="4" s="1"/>
  <c r="AI29" i="2"/>
  <c r="B15" i="4" s="1"/>
  <c r="P77" i="13"/>
  <c r="P53"/>
  <c r="P52"/>
  <c r="P51"/>
  <c r="P50"/>
  <c r="P49"/>
  <c r="P48"/>
  <c r="P47"/>
  <c r="P46"/>
  <c r="P45"/>
  <c r="P44"/>
  <c r="F12"/>
  <c r="P12" s="1"/>
  <c r="F6"/>
  <c r="I6" s="1"/>
  <c r="I8" s="1"/>
  <c r="D74"/>
  <c r="D60"/>
  <c r="E63"/>
  <c r="O63" s="1"/>
  <c r="F77"/>
  <c r="H77" s="1"/>
  <c r="F63"/>
  <c r="H63" s="1"/>
  <c r="E42" i="5"/>
  <c r="H54" s="1"/>
  <c r="E39"/>
  <c r="E72"/>
  <c r="L73" s="1"/>
  <c r="N29" i="3"/>
  <c r="D84" i="1"/>
  <c r="N118" i="3" s="1"/>
  <c r="AQ70" i="2"/>
  <c r="AO42"/>
  <c r="AO41"/>
  <c r="D80" i="1"/>
  <c r="D81"/>
  <c r="D82"/>
  <c r="AQ103" i="2"/>
  <c r="E99"/>
  <c r="AQ74"/>
  <c r="H70"/>
  <c r="B70"/>
  <c r="AO45"/>
  <c r="H41"/>
  <c r="H42" s="1"/>
  <c r="B41"/>
  <c r="AO16"/>
  <c r="AO22"/>
  <c r="H11"/>
  <c r="B11"/>
  <c r="B12" s="1"/>
  <c r="D75" i="1"/>
  <c r="D74"/>
  <c r="B53"/>
  <c r="B50"/>
  <c r="I119" i="4"/>
  <c r="I117"/>
  <c r="I115"/>
  <c r="I114"/>
  <c r="B119"/>
  <c r="B117"/>
  <c r="B114"/>
  <c r="B113"/>
  <c r="H122" i="5"/>
  <c r="H24"/>
  <c r="I130" i="4"/>
  <c r="B130"/>
  <c r="I128"/>
  <c r="B128"/>
  <c r="I124"/>
  <c r="I123"/>
  <c r="B123"/>
  <c r="B122"/>
  <c r="B31"/>
  <c r="H88" i="5"/>
  <c r="A13" i="12"/>
  <c r="D69" i="2"/>
  <c r="B52" i="1"/>
  <c r="B51"/>
  <c r="I73" i="4"/>
  <c r="I71"/>
  <c r="I70"/>
  <c r="B73"/>
  <c r="B71"/>
  <c r="B70"/>
  <c r="B69"/>
  <c r="H106" i="3"/>
  <c r="I118" s="1"/>
  <c r="D106"/>
  <c r="AQ111" i="2"/>
  <c r="AQ109"/>
  <c r="AQ107"/>
  <c r="AM111"/>
  <c r="AM109"/>
  <c r="N218" i="3" s="1"/>
  <c r="AM107" i="2"/>
  <c r="E170" i="5"/>
  <c r="E138"/>
  <c r="L149" s="1"/>
  <c r="E107"/>
  <c r="AQ82" i="2"/>
  <c r="AQ80"/>
  <c r="AM82"/>
  <c r="AM80"/>
  <c r="N185" i="3" s="1"/>
  <c r="AQ78" i="2"/>
  <c r="M68"/>
  <c r="AK22"/>
  <c r="I7" i="4"/>
  <c r="B7"/>
  <c r="I85"/>
  <c r="B85"/>
  <c r="I78"/>
  <c r="I185" i="3"/>
  <c r="I182"/>
  <c r="I153"/>
  <c r="I150"/>
  <c r="B15" i="11"/>
  <c r="A15" s="1"/>
  <c r="B14"/>
  <c r="C14" s="1"/>
  <c r="B13"/>
  <c r="A13" s="1"/>
  <c r="B12"/>
  <c r="A12" s="1"/>
  <c r="I87" i="4"/>
  <c r="B87"/>
  <c r="I84"/>
  <c r="B84"/>
  <c r="B83"/>
  <c r="I77"/>
  <c r="I80"/>
  <c r="B80"/>
  <c r="B77"/>
  <c r="B76"/>
  <c r="D168" i="3"/>
  <c r="D136"/>
  <c r="I126" i="4"/>
  <c r="B126"/>
  <c r="I162"/>
  <c r="I160"/>
  <c r="B162"/>
  <c r="B160"/>
  <c r="B152"/>
  <c r="B150"/>
  <c r="I158"/>
  <c r="I157"/>
  <c r="B157"/>
  <c r="B156"/>
  <c r="B138"/>
  <c r="I152"/>
  <c r="I150"/>
  <c r="I138"/>
  <c r="I148"/>
  <c r="I147"/>
  <c r="B147"/>
  <c r="B146"/>
  <c r="I136"/>
  <c r="I135"/>
  <c r="B135"/>
  <c r="B134"/>
  <c r="I106"/>
  <c r="I110"/>
  <c r="B110"/>
  <c r="B108"/>
  <c r="I108"/>
  <c r="I105"/>
  <c r="B105"/>
  <c r="B104"/>
  <c r="B99"/>
  <c r="I99"/>
  <c r="B98"/>
  <c r="I66"/>
  <c r="B66"/>
  <c r="B62"/>
  <c r="I55"/>
  <c r="I54"/>
  <c r="B55"/>
  <c r="B54"/>
  <c r="B53"/>
  <c r="B34"/>
  <c r="B27"/>
  <c r="B20"/>
  <c r="B13"/>
  <c r="B42"/>
  <c r="B45"/>
  <c r="I45"/>
  <c r="I44"/>
  <c r="I46"/>
  <c r="B46"/>
  <c r="M97" i="2"/>
  <c r="H184" i="5"/>
  <c r="H152"/>
  <c r="H120"/>
  <c r="H22"/>
  <c r="D9" i="3"/>
  <c r="D47"/>
  <c r="D40" i="2"/>
  <c r="D10"/>
  <c r="B40" i="1"/>
  <c r="D77" i="3"/>
  <c r="E9" i="5"/>
  <c r="D233" i="3"/>
  <c r="I29" i="4"/>
  <c r="I30"/>
  <c r="I31"/>
  <c r="I28"/>
  <c r="B30"/>
  <c r="B28"/>
  <c r="I37"/>
  <c r="B37"/>
  <c r="AM78" i="2"/>
  <c r="AK49"/>
  <c r="N153" i="3" s="1"/>
  <c r="AO49" i="2"/>
  <c r="B23" i="4"/>
  <c r="I23"/>
  <c r="I64"/>
  <c r="I63"/>
  <c r="B64"/>
  <c r="B63"/>
  <c r="I50"/>
  <c r="I48"/>
  <c r="I43"/>
  <c r="B50"/>
  <c r="B48"/>
  <c r="B44"/>
  <c r="B43"/>
  <c r="I36"/>
  <c r="B36"/>
  <c r="I35"/>
  <c r="B35"/>
  <c r="I22"/>
  <c r="B24"/>
  <c r="I24"/>
  <c r="I21"/>
  <c r="B21"/>
  <c r="I15"/>
  <c r="I16"/>
  <c r="I17"/>
  <c r="I14"/>
  <c r="B16"/>
  <c r="B17"/>
  <c r="B14"/>
  <c r="AO20" i="2"/>
  <c r="M9"/>
  <c r="M39"/>
  <c r="C70"/>
  <c r="F78" i="13"/>
  <c r="G78" s="1"/>
  <c r="F67"/>
  <c r="H67" s="1"/>
  <c r="F64"/>
  <c r="G64" s="1"/>
  <c r="F65"/>
  <c r="G65" s="1"/>
  <c r="F66"/>
  <c r="G66" s="1"/>
  <c r="G41" i="2"/>
  <c r="T41"/>
  <c r="F41"/>
  <c r="P43" i="13"/>
  <c r="G70" i="2"/>
  <c r="G74"/>
  <c r="F74"/>
  <c r="F70"/>
  <c r="D70"/>
  <c r="A70"/>
  <c r="V99"/>
  <c r="D41"/>
  <c r="A41"/>
  <c r="C41"/>
  <c r="AK41"/>
  <c r="F11"/>
  <c r="C11"/>
  <c r="D11"/>
  <c r="G72"/>
  <c r="F72"/>
  <c r="G71"/>
  <c r="G73"/>
  <c r="F73"/>
  <c r="F31" i="13"/>
  <c r="H31" s="1"/>
  <c r="F45" i="2"/>
  <c r="G53" i="13"/>
  <c r="G47" i="2"/>
  <c r="G20"/>
  <c r="G46" i="13"/>
  <c r="H45"/>
  <c r="G45"/>
  <c r="G44"/>
  <c r="F42" i="2"/>
  <c r="F51"/>
  <c r="G49" i="13"/>
  <c r="G51" i="2"/>
  <c r="F71"/>
  <c r="G11"/>
  <c r="A11"/>
  <c r="E11"/>
  <c r="E12" s="1"/>
  <c r="E70"/>
  <c r="E71" s="1"/>
  <c r="AK12"/>
  <c r="G45"/>
  <c r="V70"/>
  <c r="F49"/>
  <c r="G52" i="13"/>
  <c r="G43" i="2"/>
  <c r="F43"/>
  <c r="G42"/>
  <c r="F20"/>
  <c r="G48" i="13"/>
  <c r="F33"/>
  <c r="G33" s="1"/>
  <c r="G51"/>
  <c r="G50"/>
  <c r="H52"/>
  <c r="G22" i="2"/>
  <c r="F22"/>
  <c r="F47"/>
  <c r="G49"/>
  <c r="G46"/>
  <c r="F46"/>
  <c r="H47" i="13"/>
  <c r="G47"/>
  <c r="F23"/>
  <c r="H23" s="1"/>
  <c r="F29"/>
  <c r="G29" s="1"/>
  <c r="F26"/>
  <c r="G26" s="1"/>
  <c r="F44" i="2"/>
  <c r="G44"/>
  <c r="F27" i="13"/>
  <c r="H27" s="1"/>
  <c r="F30"/>
  <c r="H30" s="1"/>
  <c r="F32"/>
  <c r="G32" s="1"/>
  <c r="F25"/>
  <c r="H25" s="1"/>
  <c r="F24"/>
  <c r="G24" s="1"/>
  <c r="F28"/>
  <c r="G28" s="1"/>
  <c r="F50" i="2"/>
  <c r="G50"/>
  <c r="G14"/>
  <c r="F14"/>
  <c r="F48"/>
  <c r="G48"/>
  <c r="F12"/>
  <c r="G12"/>
  <c r="G19"/>
  <c r="F19"/>
  <c r="G21"/>
  <c r="F21"/>
  <c r="G15"/>
  <c r="F15"/>
  <c r="F17"/>
  <c r="G17"/>
  <c r="G13"/>
  <c r="F13"/>
  <c r="F16"/>
  <c r="G16"/>
  <c r="G18"/>
  <c r="F18"/>
  <c r="D85" i="1"/>
  <c r="F233" i="3" s="1"/>
  <c r="D78" i="1"/>
  <c r="D79"/>
  <c r="D83"/>
  <c r="N89" i="3" s="1"/>
  <c r="AO13" i="2"/>
  <c r="H46" i="13"/>
  <c r="S42" i="2"/>
  <c r="H50" i="13"/>
  <c r="H53"/>
  <c r="H49"/>
  <c r="H44"/>
  <c r="E23"/>
  <c r="O23" s="1"/>
  <c r="Q23" s="1"/>
  <c r="A25" i="7"/>
  <c r="H12" i="2" l="1"/>
  <c r="G77" i="13"/>
  <c r="H78"/>
  <c r="C12" i="11"/>
  <c r="C15"/>
  <c r="H65" i="13"/>
  <c r="V71" i="2"/>
  <c r="U71"/>
  <c r="G67" i="13"/>
  <c r="T42" i="2"/>
  <c r="B42"/>
  <c r="H71"/>
  <c r="H64" i="13"/>
  <c r="H66"/>
  <c r="G23"/>
  <c r="G63"/>
  <c r="N213" i="3"/>
  <c r="N180"/>
  <c r="N150"/>
  <c r="N182"/>
  <c r="N215"/>
  <c r="A14" i="11"/>
  <c r="G31" i="13"/>
  <c r="H29"/>
  <c r="H32"/>
  <c r="H24"/>
  <c r="H26"/>
  <c r="G27"/>
  <c r="H28"/>
  <c r="G25"/>
  <c r="G30"/>
  <c r="H33"/>
  <c r="C29" i="7"/>
  <c r="D76" i="1"/>
  <c r="H72" i="5"/>
  <c r="L84"/>
  <c r="L171"/>
  <c r="L181"/>
  <c r="C42" i="2"/>
  <c r="H107" i="5"/>
  <c r="L117"/>
  <c r="D68" i="1"/>
  <c r="M22" i="5" s="1"/>
  <c r="M88"/>
  <c r="M54"/>
  <c r="I25" i="3"/>
  <c r="A29" i="7"/>
  <c r="I23" i="3"/>
  <c r="H48" i="13"/>
  <c r="H51"/>
  <c r="C13" i="11"/>
  <c r="R77" i="13"/>
  <c r="A20" i="7"/>
  <c r="D89" i="1"/>
  <c r="L77" i="5"/>
  <c r="C71" i="2"/>
  <c r="M152" i="5"/>
  <c r="L46"/>
  <c r="L143"/>
  <c r="D12" i="2"/>
  <c r="H138" i="5"/>
  <c r="H39"/>
  <c r="C12" i="2"/>
  <c r="D42"/>
  <c r="D71"/>
  <c r="H11" i="13"/>
  <c r="G6"/>
  <c r="G8" s="1"/>
  <c r="H6"/>
  <c r="H8" s="1"/>
  <c r="L6"/>
  <c r="L8" s="1"/>
  <c r="M6"/>
  <c r="M8" s="1"/>
  <c r="J6"/>
  <c r="J8" s="1"/>
  <c r="N6"/>
  <c r="N8" s="1"/>
  <c r="K6"/>
  <c r="K8" s="1"/>
  <c r="D3" i="4"/>
  <c r="F3"/>
  <c r="E3"/>
  <c r="A14" i="8"/>
  <c r="A84" i="32"/>
  <c r="A85" s="1"/>
  <c r="A86" s="1"/>
  <c r="A87" s="1"/>
  <c r="A88" s="1"/>
  <c r="A89" s="1"/>
  <c r="A90" s="1"/>
  <c r="A91" s="1"/>
  <c r="A92" s="1"/>
  <c r="A93" s="1"/>
  <c r="A94" s="1"/>
  <c r="A95" s="1"/>
  <c r="A96" s="1"/>
  <c r="A97" s="1"/>
  <c r="A98" s="1"/>
  <c r="L108" i="5"/>
  <c r="I15" i="2"/>
  <c r="M15" s="1"/>
  <c r="B15" s="1"/>
  <c r="L139" i="5"/>
  <c r="I21" i="3"/>
  <c r="M13" i="2"/>
  <c r="E78" i="13"/>
  <c r="O78" s="1"/>
  <c r="L178" i="5"/>
  <c r="V100" i="2"/>
  <c r="E100"/>
  <c r="B71"/>
  <c r="L81" i="5"/>
  <c r="L121" i="32"/>
  <c r="L119"/>
  <c r="I59" i="3"/>
  <c r="M72" i="2"/>
  <c r="H72" s="1"/>
  <c r="A14" i="12"/>
  <c r="R44" i="13"/>
  <c r="M213" i="5"/>
  <c r="L118" i="32"/>
  <c r="AM104" i="2"/>
  <c r="AM105"/>
  <c r="AM103"/>
  <c r="H43"/>
  <c r="N59" i="3"/>
  <c r="I44" i="2"/>
  <c r="L42" i="5"/>
  <c r="L49"/>
  <c r="A71" i="2"/>
  <c r="N21" i="3"/>
  <c r="L43" i="5"/>
  <c r="L146"/>
  <c r="A24" i="7"/>
  <c r="N148" i="3"/>
  <c r="L40" i="5"/>
  <c r="T43" i="2"/>
  <c r="R43" i="13"/>
  <c r="H14" i="2"/>
  <c r="C14"/>
  <c r="D14"/>
  <c r="S14"/>
  <c r="B14"/>
  <c r="E25" i="13"/>
  <c r="O25" s="1"/>
  <c r="Q25" s="1"/>
  <c r="E14" i="2"/>
  <c r="H74"/>
  <c r="C74"/>
  <c r="E67" i="13"/>
  <c r="O67" s="1"/>
  <c r="D74" i="2"/>
  <c r="A74"/>
  <c r="E74"/>
  <c r="V74"/>
  <c r="B74"/>
  <c r="L12" i="5"/>
  <c r="H9"/>
  <c r="L19"/>
  <c r="L10"/>
  <c r="L111"/>
  <c r="M120"/>
  <c r="L114"/>
  <c r="A19" i="7"/>
  <c r="D17" i="3"/>
  <c r="H15" s="1"/>
  <c r="E43" i="2"/>
  <c r="D43"/>
  <c r="S43"/>
  <c r="C43"/>
  <c r="B43"/>
  <c r="M73"/>
  <c r="U74" s="1"/>
  <c r="L16" i="5"/>
  <c r="M184"/>
  <c r="H170"/>
  <c r="L175"/>
  <c r="L13"/>
  <c r="A13" i="8"/>
  <c r="I89" i="3"/>
  <c r="N25" l="1"/>
  <c r="D77" i="1"/>
  <c r="N23" i="3" s="1"/>
  <c r="A12" i="2"/>
  <c r="I31" i="13"/>
  <c r="I52"/>
  <c r="I47"/>
  <c r="I23"/>
  <c r="I27"/>
  <c r="I25"/>
  <c r="J25" s="1"/>
  <c r="K25" s="1"/>
  <c r="I53"/>
  <c r="I49"/>
  <c r="I43"/>
  <c r="J43" s="1"/>
  <c r="K43" s="1"/>
  <c r="I77"/>
  <c r="J77" s="1"/>
  <c r="K77" s="1"/>
  <c r="I67"/>
  <c r="J67" s="1"/>
  <c r="K67" s="1"/>
  <c r="I33"/>
  <c r="I51"/>
  <c r="I48"/>
  <c r="I50"/>
  <c r="I66"/>
  <c r="I64"/>
  <c r="J64" s="1"/>
  <c r="K64" s="1"/>
  <c r="I44"/>
  <c r="J44" s="1"/>
  <c r="K44" s="1"/>
  <c r="I32"/>
  <c r="I26"/>
  <c r="I63"/>
  <c r="J63" s="1"/>
  <c r="K63" s="1"/>
  <c r="I45"/>
  <c r="I28"/>
  <c r="I65"/>
  <c r="I46"/>
  <c r="I78"/>
  <c r="J78" s="1"/>
  <c r="K78" s="1"/>
  <c r="I30"/>
  <c r="I24"/>
  <c r="I29"/>
  <c r="A14" i="2"/>
  <c r="C15"/>
  <c r="E26" i="13"/>
  <c r="O26" s="1"/>
  <c r="Q26" s="1"/>
  <c r="I16" i="2"/>
  <c r="I17" s="1"/>
  <c r="D15"/>
  <c r="S15"/>
  <c r="H15"/>
  <c r="A15"/>
  <c r="E15"/>
  <c r="U72"/>
  <c r="L120" i="32"/>
  <c r="E24" i="13"/>
  <c r="O24" s="1"/>
  <c r="Q24" s="1"/>
  <c r="E13" i="2"/>
  <c r="S13"/>
  <c r="D13"/>
  <c r="A13"/>
  <c r="C13"/>
  <c r="B13"/>
  <c r="H13"/>
  <c r="V72"/>
  <c r="C72"/>
  <c r="E72"/>
  <c r="E65" i="13"/>
  <c r="O65" s="1"/>
  <c r="D72" i="2"/>
  <c r="B13" i="12"/>
  <c r="B14" s="1"/>
  <c r="B72" i="2"/>
  <c r="A72"/>
  <c r="I45"/>
  <c r="M44"/>
  <c r="E45" i="13" s="1"/>
  <c r="O45" s="1"/>
  <c r="A42" i="2"/>
  <c r="A43"/>
  <c r="D51" i="3"/>
  <c r="D13"/>
  <c r="D81"/>
  <c r="B73" i="2"/>
  <c r="E73"/>
  <c r="A73"/>
  <c r="E66" i="13"/>
  <c r="O66" s="1"/>
  <c r="V73" i="2"/>
  <c r="C73"/>
  <c r="D73"/>
  <c r="H73"/>
  <c r="U73"/>
  <c r="J23" i="13" l="1"/>
  <c r="K23" s="1"/>
  <c r="J66"/>
  <c r="K66" s="1"/>
  <c r="R45"/>
  <c r="S45"/>
  <c r="J45"/>
  <c r="K45" s="1"/>
  <c r="AM76" i="2"/>
  <c r="J65" i="13"/>
  <c r="K65" s="1"/>
  <c r="J26"/>
  <c r="K26" s="1"/>
  <c r="AM74" i="2"/>
  <c r="M16"/>
  <c r="AM75"/>
  <c r="A44"/>
  <c r="J24" i="13"/>
  <c r="K24" s="1"/>
  <c r="E44" i="2"/>
  <c r="T44"/>
  <c r="B44"/>
  <c r="H44"/>
  <c r="S44"/>
  <c r="D44"/>
  <c r="C44"/>
  <c r="M45"/>
  <c r="E46" i="13" s="1"/>
  <c r="O46" s="1"/>
  <c r="I46" i="2"/>
  <c r="M17"/>
  <c r="I18"/>
  <c r="J46" i="13" l="1"/>
  <c r="K46" s="1"/>
  <c r="S46"/>
  <c r="R46"/>
  <c r="A16" i="2"/>
  <c r="H16"/>
  <c r="E27" i="13"/>
  <c r="C16" i="2"/>
  <c r="E16"/>
  <c r="T16"/>
  <c r="S16"/>
  <c r="B16"/>
  <c r="D16"/>
  <c r="I47"/>
  <c r="E47" i="13"/>
  <c r="O47" s="1"/>
  <c r="H45" i="2"/>
  <c r="C45"/>
  <c r="D45"/>
  <c r="E45"/>
  <c r="B45"/>
  <c r="S45"/>
  <c r="T45"/>
  <c r="A45"/>
  <c r="I19"/>
  <c r="M18"/>
  <c r="D17"/>
  <c r="E28" i="13"/>
  <c r="A17" i="2"/>
  <c r="S17"/>
  <c r="H17"/>
  <c r="T17"/>
  <c r="E17"/>
  <c r="B17"/>
  <c r="C17"/>
  <c r="S47" i="13" l="1"/>
  <c r="R47"/>
  <c r="J47"/>
  <c r="K47" s="1"/>
  <c r="J28"/>
  <c r="K28" s="1"/>
  <c r="O28"/>
  <c r="Q28" s="1"/>
  <c r="J27"/>
  <c r="K27" s="1"/>
  <c r="O27"/>
  <c r="Q27" s="1"/>
  <c r="T46" i="2"/>
  <c r="S46"/>
  <c r="H46"/>
  <c r="A46"/>
  <c r="E46"/>
  <c r="D46"/>
  <c r="C46"/>
  <c r="B46"/>
  <c r="M47"/>
  <c r="E48" i="13" s="1"/>
  <c r="O48" s="1"/>
  <c r="I48" i="2"/>
  <c r="B18"/>
  <c r="H18"/>
  <c r="T18"/>
  <c r="E18"/>
  <c r="S18"/>
  <c r="A18"/>
  <c r="D18"/>
  <c r="E29" i="13"/>
  <c r="C18" i="2"/>
  <c r="M19"/>
  <c r="I20"/>
  <c r="J48" i="13" l="1"/>
  <c r="K48" s="1"/>
  <c r="S48"/>
  <c r="R48"/>
  <c r="J29"/>
  <c r="K29" s="1"/>
  <c r="O29"/>
  <c r="Q29" s="1"/>
  <c r="M48" i="2"/>
  <c r="E49" i="13" s="1"/>
  <c r="O49" s="1"/>
  <c r="I49" i="2"/>
  <c r="D47"/>
  <c r="A47"/>
  <c r="C47"/>
  <c r="E47"/>
  <c r="T47"/>
  <c r="B47"/>
  <c r="S47"/>
  <c r="H47"/>
  <c r="S19"/>
  <c r="B19"/>
  <c r="C19"/>
  <c r="E30" i="13"/>
  <c r="O30" s="1"/>
  <c r="Q30" s="1"/>
  <c r="E19" i="2"/>
  <c r="D19"/>
  <c r="T19"/>
  <c r="A19"/>
  <c r="H19"/>
  <c r="I21"/>
  <c r="M20"/>
  <c r="J49" i="13" l="1"/>
  <c r="K49" s="1"/>
  <c r="S49"/>
  <c r="R49"/>
  <c r="J30"/>
  <c r="K30" s="1"/>
  <c r="I50" i="2"/>
  <c r="M49"/>
  <c r="E50" i="13" s="1"/>
  <c r="O50" s="1"/>
  <c r="B48" i="2"/>
  <c r="H48"/>
  <c r="T48"/>
  <c r="D48"/>
  <c r="C48"/>
  <c r="S48"/>
  <c r="E48"/>
  <c r="A48"/>
  <c r="B20"/>
  <c r="D20"/>
  <c r="T20"/>
  <c r="S20"/>
  <c r="E20"/>
  <c r="H20"/>
  <c r="E31" i="13"/>
  <c r="A20" i="2"/>
  <c r="C20"/>
  <c r="I22"/>
  <c r="M22" s="1"/>
  <c r="M21"/>
  <c r="J50" i="13" l="1"/>
  <c r="K50" s="1"/>
  <c r="S50"/>
  <c r="R50"/>
  <c r="J31"/>
  <c r="K31" s="1"/>
  <c r="O31"/>
  <c r="Q31" s="1"/>
  <c r="B19" i="7"/>
  <c r="B20" s="1"/>
  <c r="B29"/>
  <c r="B30" s="1"/>
  <c r="B24"/>
  <c r="B25" s="1"/>
  <c r="E49" i="2"/>
  <c r="A49"/>
  <c r="H49"/>
  <c r="D49"/>
  <c r="S49"/>
  <c r="T49"/>
  <c r="C49"/>
  <c r="B49"/>
  <c r="I51"/>
  <c r="M50"/>
  <c r="E51" i="13" s="1"/>
  <c r="O51" s="1"/>
  <c r="S22" i="2"/>
  <c r="B22"/>
  <c r="C22"/>
  <c r="H22"/>
  <c r="E33" i="13"/>
  <c r="E22" i="2"/>
  <c r="T22"/>
  <c r="AK20" s="1"/>
  <c r="D22"/>
  <c r="A22"/>
  <c r="B21"/>
  <c r="D21"/>
  <c r="T21"/>
  <c r="H21"/>
  <c r="S21"/>
  <c r="A21"/>
  <c r="E21"/>
  <c r="C21"/>
  <c r="E32" i="13"/>
  <c r="O18" s="1"/>
  <c r="P18" l="1"/>
  <c r="Q18" s="1"/>
  <c r="R18"/>
  <c r="S18" s="1"/>
  <c r="S51"/>
  <c r="R51"/>
  <c r="J51"/>
  <c r="K51" s="1"/>
  <c r="J32"/>
  <c r="K32" s="1"/>
  <c r="O32"/>
  <c r="Q32" s="1"/>
  <c r="J33"/>
  <c r="K33" s="1"/>
  <c r="O33"/>
  <c r="Q33" s="1"/>
  <c r="AK17" i="2"/>
  <c r="O16" i="13"/>
  <c r="AK18" i="2"/>
  <c r="AK16"/>
  <c r="D50"/>
  <c r="C50"/>
  <c r="A50"/>
  <c r="T50"/>
  <c r="S50"/>
  <c r="H50"/>
  <c r="B50"/>
  <c r="E50"/>
  <c r="I52"/>
  <c r="M52" s="1"/>
  <c r="E53" i="13" s="1"/>
  <c r="O53" s="1"/>
  <c r="M51" i="2"/>
  <c r="B13" i="8" l="1"/>
  <c r="B14" s="1"/>
  <c r="E52" i="13"/>
  <c r="R53"/>
  <c r="S53"/>
  <c r="T53"/>
  <c r="T44"/>
  <c r="T66"/>
  <c r="T78"/>
  <c r="T50"/>
  <c r="R16"/>
  <c r="S16" s="1"/>
  <c r="Q16" s="1"/>
  <c r="T29"/>
  <c r="T33"/>
  <c r="T28"/>
  <c r="T25"/>
  <c r="T32"/>
  <c r="T64"/>
  <c r="T27"/>
  <c r="T23"/>
  <c r="T63"/>
  <c r="T31"/>
  <c r="T46"/>
  <c r="T26"/>
  <c r="T67"/>
  <c r="T49"/>
  <c r="T48"/>
  <c r="T45"/>
  <c r="T65"/>
  <c r="T43"/>
  <c r="T30"/>
  <c r="T24"/>
  <c r="T51"/>
  <c r="T52"/>
  <c r="T47"/>
  <c r="T77"/>
  <c r="S52" i="2"/>
  <c r="T52"/>
  <c r="E52"/>
  <c r="D52"/>
  <c r="A52"/>
  <c r="H52"/>
  <c r="B52"/>
  <c r="C52"/>
  <c r="E51"/>
  <c r="H51"/>
  <c r="J53" i="13"/>
  <c r="K53" s="1"/>
  <c r="S51" i="2"/>
  <c r="T51"/>
  <c r="A51"/>
  <c r="B51"/>
  <c r="C51"/>
  <c r="D51"/>
  <c r="O52" i="13" l="1"/>
  <c r="J52"/>
  <c r="K52" s="1"/>
  <c r="AK45" i="2"/>
  <c r="AK46"/>
  <c r="AK47"/>
  <c r="R52" i="13" l="1"/>
  <c r="S52"/>
  <c r="Q65"/>
  <c r="Q64"/>
  <c r="Q67"/>
  <c r="Q78"/>
  <c r="Q66"/>
  <c r="Q63"/>
  <c r="P63" l="1"/>
  <c r="R63" s="1"/>
  <c r="S63"/>
  <c r="S64"/>
  <c r="P64"/>
  <c r="R64" s="1"/>
  <c r="P66"/>
  <c r="R66" s="1"/>
  <c r="S66"/>
  <c r="S65"/>
  <c r="P65"/>
  <c r="R65" s="1"/>
  <c r="P78"/>
  <c r="R78" s="1"/>
  <c r="S78"/>
  <c r="S67"/>
  <c r="P67"/>
  <c r="R67" s="1"/>
  <c r="G3" i="32"/>
  <c r="P5" s="1"/>
  <c r="J2"/>
  <c r="O10" s="1"/>
  <c r="S33" i="13"/>
  <c r="J3" i="32"/>
  <c r="P9" s="1"/>
  <c r="G2"/>
  <c r="O5" s="1"/>
  <c r="P24" i="13"/>
  <c r="R24" s="1"/>
  <c r="P27"/>
  <c r="R27" s="1"/>
  <c r="P30"/>
  <c r="R30" s="1"/>
  <c r="S28"/>
  <c r="P29"/>
  <c r="R29" s="1"/>
  <c r="P31"/>
  <c r="R31" s="1"/>
  <c r="P32"/>
  <c r="R32" s="1"/>
  <c r="P23"/>
  <c r="R23" s="1"/>
  <c r="S26"/>
  <c r="S25"/>
  <c r="S29" l="1"/>
  <c r="P26"/>
  <c r="R26" s="1"/>
  <c r="S30"/>
  <c r="S32"/>
  <c r="P10" i="32"/>
  <c r="O9"/>
  <c r="P6"/>
  <c r="S24" i="13"/>
  <c r="P25"/>
  <c r="R25" s="1"/>
  <c r="S31"/>
  <c r="P28"/>
  <c r="R28" s="1"/>
  <c r="S27"/>
  <c r="O6" i="32"/>
  <c r="P33" i="13"/>
  <c r="R33" s="1"/>
  <c r="S23"/>
</calcChain>
</file>

<file path=xl/comments1.xml><?xml version="1.0" encoding="utf-8"?>
<comments xmlns="http://schemas.openxmlformats.org/spreadsheetml/2006/main">
  <authors>
    <author>Don Shoemaker</author>
  </authors>
  <commentList>
    <comment ref="C3" authorId="0">
      <text>
        <r>
          <rPr>
            <b/>
            <sz val="8"/>
            <color indexed="81"/>
            <rFont val="Tahoma"/>
            <family val="2"/>
          </rPr>
          <t>Don Shoemaker:</t>
        </r>
        <r>
          <rPr>
            <sz val="8"/>
            <color indexed="81"/>
            <rFont val="Tahoma"/>
            <family val="2"/>
          </rPr>
          <t xml:space="preserve">
ICC max computed using vaue read from VR register 21h (cell C2 above).</t>
        </r>
      </text>
    </comment>
    <comment ref="B58" authorId="0">
      <text>
        <r>
          <rPr>
            <b/>
            <sz val="8"/>
            <color indexed="81"/>
            <rFont val="Tahoma"/>
            <family val="2"/>
          </rPr>
          <t>Don Shoemaker:</t>
        </r>
        <r>
          <rPr>
            <sz val="8"/>
            <color indexed="81"/>
            <rFont val="Tahoma"/>
            <family val="2"/>
          </rPr>
          <t xml:space="preserve">
This value should always be zero.</t>
        </r>
      </text>
    </comment>
    <comment ref="B59" authorId="0">
      <text>
        <r>
          <rPr>
            <b/>
            <sz val="8"/>
            <color indexed="81"/>
            <rFont val="Tahoma"/>
            <family val="2"/>
          </rPr>
          <t>Don Shoemaker:</t>
        </r>
        <r>
          <rPr>
            <sz val="8"/>
            <color indexed="81"/>
            <rFont val="Tahoma"/>
            <family val="2"/>
          </rPr>
          <t xml:space="preserve">
Time step is computed from the High/Low test time being reoprted in the test log.</t>
        </r>
      </text>
    </comment>
    <comment ref="B79" authorId="0">
      <text>
        <r>
          <rPr>
            <b/>
            <sz val="8"/>
            <color indexed="81"/>
            <rFont val="Tahoma"/>
            <family val="2"/>
          </rPr>
          <t>Don Shoemaker:</t>
        </r>
        <r>
          <rPr>
            <sz val="8"/>
            <color indexed="81"/>
            <rFont val="Tahoma"/>
            <family val="2"/>
          </rPr>
          <t xml:space="preserve">
High/Low test time as reported from the test log.</t>
        </r>
      </text>
    </comment>
    <comment ref="B80" authorId="0">
      <text>
        <r>
          <rPr>
            <b/>
            <sz val="8"/>
            <color indexed="81"/>
            <rFont val="Tahoma"/>
            <family val="2"/>
          </rPr>
          <t>Don Shoemaker:</t>
        </r>
        <r>
          <rPr>
            <sz val="8"/>
            <color indexed="81"/>
            <rFont val="Tahoma"/>
            <family val="2"/>
          </rPr>
          <t xml:space="preserve">
Time step is computed from the High/Low test time being reoprted in the test log.</t>
        </r>
      </text>
    </comment>
  </commentList>
</comments>
</file>

<file path=xl/sharedStrings.xml><?xml version="1.0" encoding="utf-8"?>
<sst xmlns="http://schemas.openxmlformats.org/spreadsheetml/2006/main" count="1475" uniqueCount="557">
  <si>
    <t>INTEL CONFIDENTIAL</t>
  </si>
  <si>
    <t>Variables</t>
  </si>
  <si>
    <t>Values</t>
  </si>
  <si>
    <t>Units</t>
  </si>
  <si>
    <t>mΩ</t>
  </si>
  <si>
    <t>mV</t>
  </si>
  <si>
    <t>A</t>
  </si>
  <si>
    <t>μs</t>
  </si>
  <si>
    <t>%</t>
  </si>
  <si>
    <t>dVID Settling Time</t>
  </si>
  <si>
    <t>IccMax</t>
  </si>
  <si>
    <t>Normal Operating Mode</t>
  </si>
  <si>
    <t>Calculated Parameters</t>
  </si>
  <si>
    <t>VID</t>
  </si>
  <si>
    <t>V</t>
  </si>
  <si>
    <t>dVID_Settle</t>
  </si>
  <si>
    <t>SetVID_FAST</t>
  </si>
  <si>
    <t>mV/us</t>
  </si>
  <si>
    <t>SetVID_SLOW</t>
  </si>
  <si>
    <t>Step size in PS1</t>
  </si>
  <si>
    <t>I_Step_PS1</t>
  </si>
  <si>
    <t>é</t>
  </si>
  <si>
    <t>mV peak</t>
  </si>
  <si>
    <t>R_LL for load step</t>
  </si>
  <si>
    <t>Average R_LL</t>
  </si>
  <si>
    <t>High R_LL</t>
  </si>
  <si>
    <t>Low R_LL</t>
  </si>
  <si>
    <t xml:space="preserve">Max R_LL </t>
  </si>
  <si>
    <t>Min V @ I_Min</t>
  </si>
  <si>
    <t>Max V @ I_Min</t>
  </si>
  <si>
    <t>Measured V @ I_Min</t>
  </si>
  <si>
    <t>Max Ripple</t>
  </si>
  <si>
    <t>Measured Ripple</t>
  </si>
  <si>
    <t>Min LL Slope</t>
  </si>
  <si>
    <t>Typical Test Parameters</t>
  </si>
  <si>
    <t>ENTER MEASUREMENTS</t>
  </si>
  <si>
    <t>Starting Current</t>
  </si>
  <si>
    <t>Ending Current</t>
  </si>
  <si>
    <t>Duty Cycle</t>
  </si>
  <si>
    <t>R_AC_LL</t>
  </si>
  <si>
    <t>Design Targets</t>
  </si>
  <si>
    <t>VID2</t>
  </si>
  <si>
    <t>VID3</t>
  </si>
  <si>
    <t>Measured Static Voltage in (V)</t>
  </si>
  <si>
    <t>Measured Input Voltage in (V)</t>
  </si>
  <si>
    <t>Measured Input Current in (A)</t>
  </si>
  <si>
    <t>Ripple in (mV) pk-pk</t>
  </si>
  <si>
    <t>Efficiency</t>
  </si>
  <si>
    <t>Processor Test Current in (A)</t>
  </si>
  <si>
    <t>VID1</t>
  </si>
  <si>
    <t>No</t>
  </si>
  <si>
    <t>Yes</t>
  </si>
  <si>
    <t xml:space="preserve">Does the DroopV waveform above demonstrate that the VR has a controlled and stable response to transient load events? </t>
  </si>
  <si>
    <t xml:space="preserve">Does the Overshoot waveform above demonstrate that the VR has a controlled and stable response to transient load releases? </t>
  </si>
  <si>
    <t>Efficiency at TDC</t>
  </si>
  <si>
    <t>Eff</t>
  </si>
  <si>
    <t>Is the Measured V @ I_Min within the Min V and Max V @ I_Min limits?</t>
  </si>
  <si>
    <t>Is the Efficiency at TDC at or above the Efficiency target?</t>
  </si>
  <si>
    <t>Y/N</t>
  </si>
  <si>
    <t>Is the measured ripple a correct value and less than the Max ripple target?</t>
  </si>
  <si>
    <t>Peak +/- Ripple in PS1</t>
  </si>
  <si>
    <t>VID1 in PS0 Static Voltage Measurements</t>
  </si>
  <si>
    <t>VID2 in PS1 Static Voltage Measurements</t>
  </si>
  <si>
    <t>VID3 in PS3 Static Voltage Measurements</t>
  </si>
  <si>
    <t>VID1 Design Targets</t>
  </si>
  <si>
    <t>VID2 Design Targets</t>
  </si>
  <si>
    <t>VID1 Validation Results Summary</t>
  </si>
  <si>
    <t>VID2 Validation Results Summary</t>
  </si>
  <si>
    <t>Max Loadline slope at VID1</t>
  </si>
  <si>
    <t>Min Loadline slope at VID1</t>
  </si>
  <si>
    <t xml:space="preserve"> PS1 Mode Transient Response Measurements </t>
  </si>
  <si>
    <t>PS0 Transient Validation Results Summary</t>
  </si>
  <si>
    <t>PS0 dVID Validation Results Summary</t>
  </si>
  <si>
    <t>Voltage</t>
  </si>
  <si>
    <t>Insert scope capture of voltage increase here</t>
  </si>
  <si>
    <t>Insert scope capture of voltage decrease here</t>
  </si>
  <si>
    <t xml:space="preserve">Does the voltage increase waveform above demonstrate that the VR has a controlled and stable response to VID changes? </t>
  </si>
  <si>
    <t xml:space="preserve">Does the voltage decrease waveform above demonstrate that the VR has a controlled and stable response to VID changes? </t>
  </si>
  <si>
    <t xml:space="preserve"> PS1 Mode SetVID_Fast Dynamic Voltage Response Measurements </t>
  </si>
  <si>
    <t xml:space="preserve"> PS3 Mode SetVID_Fast Dynamic Voltage Response Measurements </t>
  </si>
  <si>
    <t>Max Voltage droop 
PS0 to PS1</t>
  </si>
  <si>
    <t>Max Voltage droop 
PS1 to PS0</t>
  </si>
  <si>
    <t>Voltage droop PS0 to PS1</t>
  </si>
  <si>
    <t>Voltage droop PS1 to PS0</t>
  </si>
  <si>
    <t>Does VR shut down at a level consistent with the Overcurrent design?</t>
  </si>
  <si>
    <t xml:space="preserve">Does the waveform above demonstrate that the VR has a controlled and stable response to transient load events? </t>
  </si>
  <si>
    <t>Enter the name of the voltage rail being tested</t>
  </si>
  <si>
    <t>Voltage Rail Parameters from Table in Design Guide</t>
  </si>
  <si>
    <t>Step Direction</t>
  </si>
  <si>
    <t>Does the VR decay as expected for the design?</t>
  </si>
  <si>
    <t>V_Start</t>
  </si>
  <si>
    <t>V_End</t>
  </si>
  <si>
    <t>V_Droop</t>
  </si>
  <si>
    <t>Insert scope capture of V_Droop here</t>
  </si>
  <si>
    <t>Does the Efficiency meet the Efficiency targets for the design?</t>
  </si>
  <si>
    <t>PS1 Ripple</t>
  </si>
  <si>
    <t>PS0 Overcurrent Protection Test</t>
  </si>
  <si>
    <t>Ideal</t>
  </si>
  <si>
    <t>PS set to PS0</t>
  </si>
  <si>
    <t>PS set to PS3</t>
  </si>
  <si>
    <t>PS set to PS2</t>
  </si>
  <si>
    <t>PS set to PS1</t>
  </si>
  <si>
    <t xml:space="preserve"> PS0 Mode Large Step Transient Response Measurements </t>
  </si>
  <si>
    <t xml:space="preserve"> PS0 Mode Small Step Transient Response Measurements </t>
  </si>
  <si>
    <t>This test needs to focus on any potential trouble frequencies identified in the FDIM testing in addition to sweeping the frequency range.</t>
  </si>
  <si>
    <t>Upper Limit</t>
  </si>
  <si>
    <t>Lower Limit</t>
  </si>
  <si>
    <t>Projected AC LL Slope</t>
  </si>
  <si>
    <t>DC + Ripple</t>
  </si>
  <si>
    <t>Dc - Ripple</t>
  </si>
  <si>
    <t xml:space="preserve">Large Step Transient Response Adjusted </t>
  </si>
  <si>
    <t>Small Step Transient Response Adjusted</t>
  </si>
  <si>
    <t>Overshoot Transient Response Adjusted</t>
  </si>
  <si>
    <t>Limit</t>
  </si>
  <si>
    <t xml:space="preserve">Time duration from CSO# to Alert assertion </t>
  </si>
  <si>
    <t>Time duration CSO# to Alert</t>
  </si>
  <si>
    <t>Max duration CSO# to Alert</t>
  </si>
  <si>
    <t>Is the time duration from CSO# to Alert both correct and less than the Max duration?</t>
  </si>
  <si>
    <t xml:space="preserve"> </t>
  </si>
  <si>
    <t>Static LL</t>
  </si>
  <si>
    <t>HVM Validation</t>
  </si>
  <si>
    <t>Summary</t>
  </si>
  <si>
    <t>Not Addressed</t>
  </si>
  <si>
    <t>Intel Confidential</t>
  </si>
  <si>
    <t>Revision History</t>
  </si>
  <si>
    <t>Revision</t>
  </si>
  <si>
    <t>Date</t>
  </si>
  <si>
    <t>Comments</t>
  </si>
  <si>
    <t>PS1 dVID Validation Results Summary</t>
  </si>
  <si>
    <t>PS2 dVID Validation Results Summary</t>
  </si>
  <si>
    <t>PS3 dVID Validation Results Summary</t>
  </si>
  <si>
    <t xml:space="preserve">VID1 Efficiency Target at TDC </t>
  </si>
  <si>
    <t xml:space="preserve"> PS1 - PS0 Mode Transient Response Measurements </t>
  </si>
  <si>
    <t xml:space="preserve"> PS2 - PS0 Mode Transient Response Measurements </t>
  </si>
  <si>
    <t>Frequency</t>
  </si>
  <si>
    <t>Sweep to 1MHz</t>
  </si>
  <si>
    <t xml:space="preserve">Dynamic VID </t>
  </si>
  <si>
    <t xml:space="preserve">Transient LL </t>
  </si>
  <si>
    <t>Time Icc reaches Target value</t>
  </si>
  <si>
    <t>Measured Static Voltage</t>
  </si>
  <si>
    <t>ENTER MEASURED STATIC VOLTAGES AT THE TIME INTERVALS</t>
  </si>
  <si>
    <t>Allowed</t>
  </si>
  <si>
    <t>Minus</t>
  </si>
  <si>
    <t>Plus</t>
  </si>
  <si>
    <t>Does the voltage stay within the Thermal Drift Limits?</t>
  </si>
  <si>
    <t>Are the values for both Voltage droops during PS change both correct and  less than their respective Max Voltage droops?</t>
  </si>
  <si>
    <t>Thermal Compensation</t>
  </si>
  <si>
    <t xml:space="preserve">Does the Efficiency meet the Efficiency targets for the design? </t>
  </si>
  <si>
    <t>+ Ripple in PS2</t>
  </si>
  <si>
    <t>-Ripple in PS2</t>
  </si>
  <si>
    <t>+ PS2 Ripple</t>
  </si>
  <si>
    <t>- PS2 Ripple</t>
  </si>
  <si>
    <t>+ PS3 Ripple</t>
  </si>
  <si>
    <t>- PS3 Ripple</t>
  </si>
  <si>
    <t>VID2 in PS2 Static Voltage Measurements</t>
  </si>
  <si>
    <t xml:space="preserve">  + Ripple in (mV) pk</t>
  </si>
  <si>
    <t xml:space="preserve">  - Ripple in (mV) pk</t>
  </si>
  <si>
    <t>Measured pk-pk Ripple</t>
  </si>
  <si>
    <t>Measured pk Neg Ripple</t>
  </si>
  <si>
    <t>Measured pk Pos Ripple</t>
  </si>
  <si>
    <t>Max Neg Ripple</t>
  </si>
  <si>
    <t>Max Pos Ripple</t>
  </si>
  <si>
    <t>Is the measured ripple both correct,  and less than the Max ripple targets?</t>
  </si>
  <si>
    <t>ns</t>
  </si>
  <si>
    <t>IccMin</t>
  </si>
  <si>
    <t>5.1 us</t>
  </si>
  <si>
    <t>1.5 us</t>
  </si>
  <si>
    <t>Max Voltage droop 
PS0 to PS2</t>
  </si>
  <si>
    <t>Max Voltage droop 
PS2 to PS0</t>
  </si>
  <si>
    <t>Voltage droop PS0 to PS2</t>
  </si>
  <si>
    <t>Voltage droop PS2 to PS0</t>
  </si>
  <si>
    <t>Vmax</t>
  </si>
  <si>
    <t>Vmin</t>
  </si>
  <si>
    <t>Static Icc</t>
  </si>
  <si>
    <t>SVID Dn</t>
  </si>
  <si>
    <t>Fast</t>
  </si>
  <si>
    <t>SVID Up</t>
  </si>
  <si>
    <t>Slow</t>
  </si>
  <si>
    <t>Decay</t>
  </si>
  <si>
    <t>VR_HOT# Assertion Test</t>
  </si>
  <si>
    <t>ENTER DATA</t>
  </si>
  <si>
    <t>Measured Temperature at VR_HOT# Assertion</t>
  </si>
  <si>
    <t>Did VR_HOT# assert at the expected temperature for your design?</t>
  </si>
  <si>
    <t>Transient Slew Time</t>
  </si>
  <si>
    <t xml:space="preserve"> PS2 Mode Transient Response Measurements </t>
  </si>
  <si>
    <t>PS0 Ripple</t>
  </si>
  <si>
    <t>V_TOB_Imax_PS1</t>
  </si>
  <si>
    <t>V_TOB_Imax_PS2</t>
  </si>
  <si>
    <t>Please Note: The R_LL calculated in cells of this table are calculated from the cell directly above it. The other tables have the R_LL calculated from the first cell in the table. It is different here as many designs will have data points at light loads that do not fall on a linear loadline.</t>
  </si>
  <si>
    <t xml:space="preserve"> PS0 Mode SetVID_Slow Dynamic Voltage Response Measurements </t>
  </si>
  <si>
    <t>VID2 in PS2 Validation Results Summary</t>
  </si>
  <si>
    <t>VID2 in PS2 Design Targets</t>
  </si>
  <si>
    <t>VID3 in PS3 Validation Results Summary</t>
  </si>
  <si>
    <t>VID3 in PS3 Design Targets</t>
  </si>
  <si>
    <t>PS0 Tolerance Band</t>
  </si>
  <si>
    <t>High PS</t>
  </si>
  <si>
    <t>Low PS</t>
  </si>
  <si>
    <t>Data</t>
  </si>
  <si>
    <t xml:space="preserve"> PS0 Mode SetVID_Fast Dynamic Voltage Response Measurements </t>
  </si>
  <si>
    <t>DC  Loadline</t>
  </si>
  <si>
    <t>R_DC_LL</t>
  </si>
  <si>
    <t>AC Loadline</t>
  </si>
  <si>
    <t>Peak +/- Ripple in PS0</t>
  </si>
  <si>
    <t xml:space="preserve">+ Ripple in PS3 </t>
  </si>
  <si>
    <t>- Ripple in PS3</t>
  </si>
  <si>
    <t>V_TOB_Imax_PS3</t>
  </si>
  <si>
    <t>V_TOB_Imin</t>
  </si>
  <si>
    <t>Icc_PS1</t>
  </si>
  <si>
    <t>Icc_PS2</t>
  </si>
  <si>
    <t>Icc_PS3</t>
  </si>
  <si>
    <t>Max Loadline slope at VID of VID3 in PS3</t>
  </si>
  <si>
    <t>SetVID_Fast Value</t>
  </si>
  <si>
    <t xml:space="preserve"> R_DC_LL </t>
  </si>
  <si>
    <t>Max DC Loadline slope at VID1</t>
  </si>
  <si>
    <t>R_DC_LL_max</t>
  </si>
  <si>
    <t>R_DC_LL_min</t>
  </si>
  <si>
    <t>R_AC_LL_max</t>
  </si>
  <si>
    <t>Max Loadline slope at VID of VID2 in PS0</t>
  </si>
  <si>
    <t>R_DC_LL_max_PS2</t>
  </si>
  <si>
    <t>R_DC_LL_min_PS2</t>
  </si>
  <si>
    <t>R_DC_LL_max_PS1</t>
  </si>
  <si>
    <t>R_DC_LL_min_PS1</t>
  </si>
  <si>
    <t>R_AC_LL_max_PS1</t>
  </si>
  <si>
    <t>R_AC_LL_max_PS2</t>
  </si>
  <si>
    <t>Max Loadline slope  in PS1</t>
  </si>
  <si>
    <t>Min Loadline slope  in PS1</t>
  </si>
  <si>
    <t>Max Loadline slope  in PS2</t>
  </si>
  <si>
    <t>Min Loadline slope in PS2</t>
  </si>
  <si>
    <t xml:space="preserve"> Measured R_AC_LL</t>
  </si>
  <si>
    <t>Is the value for R_AC_LL both correct and  less than Max R_AC_LL?</t>
  </si>
  <si>
    <t>Max R_AC_LL in PS1</t>
  </si>
  <si>
    <t>Max R_AC_LL in PS0</t>
  </si>
  <si>
    <t>Max R_AC_LL in PS2</t>
  </si>
  <si>
    <t>Is the purpose of testing this board to do A) Design Validation or B) HVM Validation?</t>
  </si>
  <si>
    <t>Design Validation</t>
  </si>
  <si>
    <t>Insert scope capture of load release Overshoot here</t>
  </si>
  <si>
    <t>There are 2 opportunities when a VR design is tested. The first is design validation, and the second is during high volume manufacturing (HVM). The goals of design validation and HVM validation are very different.
A) During design validation components are replaced on the motherboard to fine tune the loadlines to their desired values. This will determine the BOM for the VR.
B) HVM validation demonstrates that a single board meets the specification, and provides some limited insight into the manufacturing process variations.</t>
  </si>
  <si>
    <t>PS0 Tolerance Band Allowed</t>
  </si>
  <si>
    <t>Does your platform support the Fast slew rate for VID changes to a lower voltage (downward VID changes)?</t>
  </si>
  <si>
    <t xml:space="preserve"> PS0 Mode SetVID_Decay Dynamic Voltage  Response Measurements </t>
  </si>
  <si>
    <t xml:space="preserve"> PS2 Mode SetVID_Fast Dynamic Voltage Response Measurements </t>
  </si>
  <si>
    <t>Test VID 1</t>
  </si>
  <si>
    <t>Test VID 2</t>
  </si>
  <si>
    <t>Test VID 3</t>
  </si>
  <si>
    <t>Data Entry</t>
  </si>
  <si>
    <t>STEP 1</t>
  </si>
  <si>
    <t>Register</t>
  </si>
  <si>
    <t>Data in Hex</t>
  </si>
  <si>
    <t>Data in Bin</t>
  </si>
  <si>
    <t>MSB
Bit 7</t>
  </si>
  <si>
    <t>Bit 6</t>
  </si>
  <si>
    <t>Bit 5</t>
  </si>
  <si>
    <t>Bit 4</t>
  </si>
  <si>
    <t>Bit 3</t>
  </si>
  <si>
    <t>Bit 2</t>
  </si>
  <si>
    <t>Bit 1</t>
  </si>
  <si>
    <t>LSB
Bit 0</t>
  </si>
  <si>
    <t>Capability</t>
  </si>
  <si>
    <t>06h</t>
  </si>
  <si>
    <t>1A/LSB or FFh=Imax (15h)</t>
  </si>
  <si>
    <t>Temp ADC (17h)</t>
  </si>
  <si>
    <t>P input ADC (1Bh)</t>
  </si>
  <si>
    <t>V input ADC (1Ah)</t>
  </si>
  <si>
    <t>I input ADC (19h)</t>
  </si>
  <si>
    <t>Pout ADC (18h)</t>
  </si>
  <si>
    <t>Vout ADC (16h)</t>
  </si>
  <si>
    <t>Iout ADC (15h)</t>
  </si>
  <si>
    <t>Current</t>
  </si>
  <si>
    <t>Imax</t>
  </si>
  <si>
    <t>21h</t>
  </si>
  <si>
    <t>PS0</t>
  </si>
  <si>
    <t>scaling factor</t>
  </si>
  <si>
    <t>A/bit</t>
  </si>
  <si>
    <t xml:space="preserve">Nominal Load Current
</t>
  </si>
  <si>
    <t xml:space="preserve">VRTT Actual Load Current Displayed
</t>
  </si>
  <si>
    <t>"15h" Measured Data in Hex</t>
  </si>
  <si>
    <t>Measured Data in Binary</t>
  </si>
  <si>
    <t xml:space="preserve">Measured Data in Decimal </t>
  </si>
  <si>
    <t>Scaled Amps (bits *ICCMAX/255)</t>
  </si>
  <si>
    <t>dIout Error</t>
  </si>
  <si>
    <t>% Measured dIout Error</t>
  </si>
  <si>
    <t>(%)</t>
  </si>
  <si>
    <t>(A)</t>
  </si>
  <si>
    <t>(h)</t>
  </si>
  <si>
    <t>(# bits)</t>
  </si>
  <si>
    <t>(1A/bit)</t>
  </si>
  <si>
    <t>-Tol</t>
  </si>
  <si>
    <t>+Tol</t>
  </si>
  <si>
    <t>PS1</t>
  </si>
  <si>
    <t>ICCMAX</t>
  </si>
  <si>
    <t>PS2</t>
  </si>
  <si>
    <t>PS3</t>
  </si>
  <si>
    <t>SVID Iout reading</t>
  </si>
  <si>
    <t>Enter the contents of the Capability Register 06h</t>
  </si>
  <si>
    <t>Enter the contents of the IccMax Register 21h</t>
  </si>
  <si>
    <t>Hex</t>
  </si>
  <si>
    <t>Test load</t>
  </si>
  <si>
    <t>- Limit</t>
  </si>
  <si>
    <t>+ Limit</t>
  </si>
  <si>
    <t>Calculated</t>
  </si>
  <si>
    <t>Slope</t>
  </si>
  <si>
    <t>n/a</t>
  </si>
  <si>
    <t>Offset</t>
  </si>
  <si>
    <t>Column1</t>
  </si>
  <si>
    <t>Corrected Data</t>
  </si>
  <si>
    <t>+/- TOL 1 ph VR Error (7% Lo, 3% NTC)</t>
  </si>
  <si>
    <t>VR Design Dependent Test Parameters</t>
  </si>
  <si>
    <t>These are calculated values not editable by the user.</t>
  </si>
  <si>
    <t>Digital IOUT Test</t>
  </si>
  <si>
    <t>Did Alert# or VR_HOT# assert ?</t>
  </si>
  <si>
    <t>Yes/Pass</t>
  </si>
  <si>
    <t>No/Fail</t>
  </si>
  <si>
    <t>Did Alert# assert at the end of the decay?</t>
  </si>
  <si>
    <t xml:space="preserve">These values are dependent on the VR and platform design. </t>
  </si>
  <si>
    <t>Large step transient duty cycle</t>
  </si>
  <si>
    <t>Undershoot Allowed</t>
  </si>
  <si>
    <t>V_Undershoot</t>
  </si>
  <si>
    <t xml:space="preserve">Measured undershoot </t>
  </si>
  <si>
    <t>Measured undershoot</t>
  </si>
  <si>
    <t>Undeshoot allowed</t>
  </si>
  <si>
    <t>Is the Measured undershoot less than the allowed undershoot?</t>
  </si>
  <si>
    <t>What version of VR controller is being tested?</t>
  </si>
  <si>
    <t xml:space="preserve"> PS4 Mode SetVID_Fast Dynamic Voltage Response Measurements </t>
  </si>
  <si>
    <t>This test is different. Refer to instructions.</t>
  </si>
  <si>
    <t>Rise Time</t>
  </si>
  <si>
    <t>Insert scope capture of transient response at 300Hz here</t>
  </si>
  <si>
    <t>300Hz</t>
  </si>
  <si>
    <t>4-phase VR</t>
  </si>
  <si>
    <t>% of IccMax</t>
  </si>
  <si>
    <t>DCR %</t>
  </si>
  <si>
    <t>3-phase VR</t>
  </si>
  <si>
    <t>2-phase VR</t>
  </si>
  <si>
    <t>Coulmn Selection</t>
  </si>
  <si>
    <t>Enter the number of phases the VR has</t>
  </si>
  <si>
    <t>Phases from spec entry</t>
  </si>
  <si>
    <t>DCR from spec entry</t>
  </si>
  <si>
    <t xml:space="preserve"> PS3 - PS0 Mode Transient Response Measurements </t>
  </si>
  <si>
    <t>Duration of Undershoot</t>
  </si>
  <si>
    <t>T_UDS_MAX</t>
  </si>
  <si>
    <t>Is the value for Undershoot duration and tOvS both correct and  less than T_OVS_MAX &amp; T_UDS_MAX?</t>
  </si>
  <si>
    <t>V_Settled Cursor</t>
  </si>
  <si>
    <t>Note: If the VR shuts down during this test, contact your VR vendor.</t>
  </si>
  <si>
    <t>NEW</t>
  </si>
  <si>
    <t>SAVE THIS!!! (DO NOT REMOVE)</t>
  </si>
  <si>
    <t xml:space="preserve">FS current (A)= </t>
  </si>
  <si>
    <t>Upper limit</t>
  </si>
  <si>
    <t>Lower limit</t>
  </si>
  <si>
    <t>Time</t>
  </si>
  <si>
    <t xml:space="preserve">System Time = </t>
  </si>
  <si>
    <t xml:space="preserve">Transient Imon Data (hex)        Part A - Low Current Transition </t>
  </si>
  <si>
    <t xml:space="preserve">Transient Imon Data (hex)        Part B - High Current Transition </t>
  </si>
  <si>
    <t>Pass 1A</t>
  </si>
  <si>
    <t>Pass 2A</t>
  </si>
  <si>
    <t>Pass 3A</t>
  </si>
  <si>
    <t>Pass 4A</t>
  </si>
  <si>
    <t>Pass 5A</t>
  </si>
  <si>
    <t>Pass 6A</t>
  </si>
  <si>
    <t>Pass 7A</t>
  </si>
  <si>
    <t>Pass 8A</t>
  </si>
  <si>
    <t>Pass 9A</t>
  </si>
  <si>
    <t>Pass 10A</t>
  </si>
  <si>
    <t xml:space="preserve">Temp (C) = </t>
  </si>
  <si>
    <t xml:space="preserve">IccLow = </t>
  </si>
  <si>
    <t xml:space="preserve">IccHigh = </t>
  </si>
  <si>
    <t xml:space="preserve">VccLow = </t>
  </si>
  <si>
    <t xml:space="preserve">VccHigh  = </t>
  </si>
  <si>
    <t>Pass 1B</t>
  </si>
  <si>
    <t>Pass 2B</t>
  </si>
  <si>
    <t>Pass 3B</t>
  </si>
  <si>
    <t>Pass 4B</t>
  </si>
  <si>
    <t>Pass 5B</t>
  </si>
  <si>
    <t>Pass 6B</t>
  </si>
  <si>
    <t>Pass 7B</t>
  </si>
  <si>
    <t>Pass 8B</t>
  </si>
  <si>
    <t>Pass 9B</t>
  </si>
  <si>
    <t>Pass 10B</t>
  </si>
  <si>
    <t>Time start (uS)=</t>
  </si>
  <si>
    <t>Time step (uS)=</t>
  </si>
  <si>
    <t>Time (uS):</t>
  </si>
  <si>
    <t>Pass1B</t>
  </si>
  <si>
    <t xml:space="preserve">Accuracy Data (Percent)            Part A - Low Current Transition </t>
  </si>
  <si>
    <t xml:space="preserve">Accuracy Data (Percent)             Part B - High Current Transition </t>
  </si>
  <si>
    <t>Maximum  Undershoot Time</t>
  </si>
  <si>
    <t xml:space="preserve"> T_UDS_MAX</t>
  </si>
  <si>
    <t>Load switching</t>
  </si>
  <si>
    <t>Unlocked</t>
  </si>
  <si>
    <t>11.8 us</t>
  </si>
  <si>
    <r>
      <rPr>
        <b/>
        <u/>
        <sz val="10"/>
        <rFont val="Arial"/>
        <family val="2"/>
      </rPr>
      <t>Low time:</t>
    </r>
    <r>
      <rPr>
        <sz val="10"/>
        <rFont val="Arial"/>
        <family val="2"/>
      </rPr>
      <t xml:space="preserve"> Fixed 1000us. </t>
    </r>
    <r>
      <rPr>
        <b/>
        <u/>
        <sz val="10"/>
        <rFont val="Arial"/>
        <family val="2"/>
      </rPr>
      <t>High Time:</t>
    </r>
    <r>
      <rPr>
        <sz val="10"/>
        <rFont val="Arial"/>
        <family val="2"/>
      </rPr>
      <t xml:space="preserve"> manual sweep 100us-&gt;10us</t>
    </r>
  </si>
  <si>
    <t>PS4 dVID Validation Results Summary</t>
  </si>
  <si>
    <t>Addr 0Dh
Reg 1Bh</t>
  </si>
  <si>
    <t>Hex to Dec</t>
  </si>
  <si>
    <t>Is the Psys data within the tolerance limits?</t>
  </si>
  <si>
    <t>IMVP8</t>
  </si>
  <si>
    <t>V_TOB_Imax</t>
  </si>
  <si>
    <t>Thermal Design Current that must be sustained</t>
  </si>
  <si>
    <t>Low PS Delay</t>
  </si>
  <si>
    <t>High PS Delay</t>
  </si>
  <si>
    <t>phases</t>
  </si>
  <si>
    <t>DCR</t>
  </si>
  <si>
    <t>SetVID_Slow slew rate. Default is 1/2 of SetVID_Fast</t>
  </si>
  <si>
    <t>S Line</t>
  </si>
  <si>
    <t>H Line</t>
  </si>
  <si>
    <t>U Line</t>
  </si>
  <si>
    <t>Y Line</t>
  </si>
  <si>
    <t>Platform under test</t>
  </si>
  <si>
    <t>These values are ones that are typical for IMVP8 designs. They should be verified in the PAG or IMVP8 specification and changed if necessary.</t>
  </si>
  <si>
    <t>These Values are available in the platform Power Architecture Guide (Mobile or DT). Refer to the chapter for IMVP8 Voltage and Current Requirements</t>
  </si>
  <si>
    <t>Max Current PS1</t>
  </si>
  <si>
    <t>Max Current PS2</t>
  </si>
  <si>
    <t>Max Current PS3 - Not used in DT or HEDT</t>
  </si>
  <si>
    <t>IMVP8 is only compatible to run on Gen 4 VRTT</t>
  </si>
  <si>
    <t>1.5 uS</t>
  </si>
  <si>
    <t>5.1 uS</t>
  </si>
  <si>
    <t>Corrected VR settle time to 1uS after #ALERT in the Dynamic VID test tab.</t>
  </si>
  <si>
    <t>IMVP8 Validation Spreadsheet</t>
  </si>
  <si>
    <t>Removed R_LL_AC_OS from spreadsheet and replaced with VOvS measurement and specification.On the Disclaimer Tab, replaced VR12.5 with IMVP8. Corrected 5uS to 1uS on dVID tab. '1. Corrected formula in "IOUT Calcs" tab for the PS0 Static LL test. 2. For the "Dynamic VID" tab, for the PS0 slow/slow and fast/fast, used formula to set Static Icc. Tehrmal Compensation  - Adjusted time duration of this test.</t>
  </si>
  <si>
    <t>V_TOB_Imax_PS0</t>
  </si>
  <si>
    <t>di_IccMax</t>
  </si>
  <si>
    <t>VOvS_Max</t>
  </si>
  <si>
    <t>Transient of VID1 (overshoot) in PS0 (IccMax)</t>
  </si>
  <si>
    <t>Maximum Overshoot Voltage (IccMax)</t>
  </si>
  <si>
    <t>Maximum Overshoot Time Duration (IccMax)</t>
  </si>
  <si>
    <t>Transient of VID1 (overshoot) in PS0 (IccMax_app)</t>
  </si>
  <si>
    <t>Maximum Overshoot Voltage (IccMax_app)</t>
  </si>
  <si>
    <t>Maximum Overshoot Time Duration (IccMax_app)</t>
  </si>
  <si>
    <t>Positive Excursion (V_OS_IccMax_app)</t>
  </si>
  <si>
    <t>Duration of Overshoot (tOvS_IccMax_app)</t>
  </si>
  <si>
    <t>tOvS (IccMax app)</t>
  </si>
  <si>
    <t>tOvS (IccMax)</t>
  </si>
  <si>
    <t>T_OVS_MAX (IccMax)</t>
  </si>
  <si>
    <t>Duration of Overshoot tOvS_IccMax</t>
  </si>
  <si>
    <t>IccMax current - 10mS max</t>
  </si>
  <si>
    <t>IccMax _app current - 10mS max</t>
  </si>
  <si>
    <t>IccMax_app</t>
  </si>
  <si>
    <t>VR TDC</t>
  </si>
  <si>
    <t>di_IccMax_app</t>
  </si>
  <si>
    <t>VOvS_Max_app</t>
  </si>
  <si>
    <t>tOvS_Max</t>
  </si>
  <si>
    <t>tOvS_Max_app</t>
  </si>
  <si>
    <t>Inductor DCR tolerance</t>
  </si>
  <si>
    <t>Offset correction (Amps)</t>
  </si>
  <si>
    <t>offset/iccmax correction (%)</t>
  </si>
  <si>
    <t>polarity</t>
  </si>
  <si>
    <t>percentage error</t>
  </si>
  <si>
    <t>Amps error</t>
  </si>
  <si>
    <t>BIOS UI</t>
  </si>
  <si>
    <t>BIOS calc</t>
  </si>
  <si>
    <t>not needed</t>
  </si>
  <si>
    <t>MSR Value (hex)</t>
  </si>
  <si>
    <t>MSR Value (dec)</t>
  </si>
  <si>
    <t>dt</t>
  </si>
  <si>
    <t>For the PS voltage measurement, lock duty cycle, set High Time to 100uS and set the Low and High PS Delay values so the PS state change is visible. A value of 20us is usually adequate.</t>
  </si>
  <si>
    <t>&lt;&lt;&lt;&lt;&lt;</t>
  </si>
  <si>
    <t>Adjust dwell time for Decay to reach the required voltage</t>
  </si>
  <si>
    <t>Enter low current "limit bar" data for accuracy plot:</t>
  </si>
  <si>
    <t>Enter high current "limit bar" data for accuracy plot:</t>
  </si>
  <si>
    <t xml:space="preserve">Upper limit (%) = </t>
  </si>
  <si>
    <t xml:space="preserve">Lower limit (-%) = </t>
  </si>
  <si>
    <t xml:space="preserve">Span = </t>
  </si>
  <si>
    <t xml:space="preserve">Mean = </t>
  </si>
  <si>
    <t xml:space="preserve">"High" load current </t>
  </si>
  <si>
    <t>"Low" load current</t>
  </si>
  <si>
    <t xml:space="preserve">1-phase VR </t>
  </si>
  <si>
    <t>1. PS0 Large Step Transient: Minimum current setting (IccMin) will be 2 amps regardless of the current step and IccMax for the VR platform under test.
2. Use di Transient for the Y-Line. For U/S/H-Line, use 80% of IccMax for di Transient.
3. Renamed PSYS Accuracy to PSYS ADC Functionality.
4. Static LL: PS0, Current step will begin at 0A, continue at 2 amps then make 1 amp (minimum) current steps up to PL2 TDC. PS1 current step will begin at 0A, continue at 2 amps then make 1 amp (minimum) current steps up to PL2 TDC. PS2 current step begins at 0A, continues at 2 amps then makes 1 amp steps to 5 amps. PS3 begins at 0A and stops at 2 amps.
5. Transient LL: For all Step Transient tests, the minimum current will not below 2 amps.
6. DVID: PS0 - updated Vmin from VID3 to VID2. Static Icc det to 10A if VR_TDC is &gt; 10 amps, otherwise set to VR_TDC. PS1 - Static Icc set to Icc Max PS3. PS2 - updated Vmin from VID3 to VID2.
7. Inductor DCR Tolerance - only 7% supported. Updated IOUT Calcs tab for 7% for all VR phases. Relaxed 5% &amp; 10% points.
8. Replaced Iout_data, Raw_data, Accuracy, and Response Time tabs. Replacement spreadsheet now tracks test time: 2000uS/300uS.</t>
  </si>
  <si>
    <t>T_OVS_MAX (IccMax app)</t>
  </si>
  <si>
    <t>Measured overshoot</t>
  </si>
  <si>
    <t>Duration of measured overshoot</t>
  </si>
  <si>
    <t>Maximum overshoot allowed</t>
  </si>
  <si>
    <t>Maximum duration of overshoot</t>
  </si>
  <si>
    <t>Is the time duration of the overshoot both correct and less than the maximum duration?</t>
  </si>
  <si>
    <t>Is the measured overshoot both correct and less than the maximum overshoot allowed?</t>
  </si>
  <si>
    <t>&lt;&lt;==============   Paste your raw test data in this cell!! Data is located in "C:\TEMP\Iout_script_log.txt"</t>
  </si>
  <si>
    <t>PSYS ADC functionality</t>
  </si>
  <si>
    <t>Refer to doc #523273 on IBP for script materials.</t>
  </si>
  <si>
    <t>Column2</t>
  </si>
  <si>
    <t>AC Overshoot Loadline for load release (IccMAX)</t>
  </si>
  <si>
    <t>R_AC_LL_OS (IccMAX)</t>
  </si>
  <si>
    <t>AC Overshoot Loadline for load release (IccMAX_App)</t>
  </si>
  <si>
    <t>R_AC_LL_OS (IccMAX App)</t>
  </si>
  <si>
    <t>Measured R_LL_OS (IccMax app)</t>
  </si>
  <si>
    <t>Measured R_LL_OS (IccMax)</t>
  </si>
  <si>
    <t>Max R_LL_OS (IccMax app)</t>
  </si>
  <si>
    <t>Max R_LL_OS (IccMax)</t>
  </si>
  <si>
    <t>Is the value for R_LL_OS both correct and  less than Max R_LL_OS?</t>
  </si>
  <si>
    <r>
      <t>PS1 ICCMAX,</t>
    </r>
    <r>
      <rPr>
        <sz val="11"/>
        <color theme="1"/>
        <rFont val="新細明體"/>
        <family val="2"/>
        <scheme val="minor"/>
      </rPr>
      <t xml:space="preserve"> but will not exceed PL2_TDC</t>
    </r>
  </si>
  <si>
    <t>Rails</t>
  </si>
  <si>
    <t>VccGT</t>
  </si>
  <si>
    <t>VccSA</t>
  </si>
  <si>
    <t>Select Rail</t>
  </si>
  <si>
    <t>VccGTX</t>
  </si>
  <si>
    <t>Error Rate</t>
  </si>
  <si>
    <t>% of Pmax</t>
  </si>
  <si>
    <t>Positive</t>
  </si>
  <si>
    <t>Negative</t>
  </si>
  <si>
    <t>1. Corrected error in PS1 Iout graph and table in the IOUT Calcs tab.
2. Dynamic VID tab, corrected measured undershoot for all power states.
3. Spec Entry, added selection of VR rails to be tested. Allows to set the di transient for the rail.
4. Transient LL - updated PS0 large step overshoot measurement.
5. PSYS ADC Functionality tab - updated System Input Power Monitor Accuracy percentage related to the Pmax level.</t>
  </si>
  <si>
    <t>At time 300us / 2000us, is the Iout value within the limits?</t>
  </si>
  <si>
    <t>IOUT Accuracy</t>
  </si>
  <si>
    <t>VR Rail</t>
  </si>
  <si>
    <t>Rpsys (ohms)</t>
  </si>
  <si>
    <t>ADC Vref (v)</t>
  </si>
  <si>
    <t>Ipsys (uA/W)</t>
  </si>
  <si>
    <t>Psys Pmax (W)</t>
  </si>
  <si>
    <t>Vin</t>
  </si>
  <si>
    <t>Iin</t>
  </si>
  <si>
    <t>FF</t>
  </si>
  <si>
    <t>Actual Error</t>
  </si>
  <si>
    <t>Psys</t>
  </si>
  <si>
    <t>Input Power (W)</t>
  </si>
  <si>
    <t>Input Current</t>
  </si>
  <si>
    <t>value for Psys_Pmax is entered into BIOS</t>
  </si>
  <si>
    <t>VccIA &amp; VccGT</t>
  </si>
  <si>
    <t>VccIA</t>
  </si>
  <si>
    <t>1. Spec Entry Tab: updated R_AC_LL_OS (IccMax_App) cell formula. IOUT Calcs Tab: updated Offset Correction cell formula.
2. Spec Entry Tab updated: Added to dt - included a 150nS option if the platform is SKL-S (Core or GT).
3. Updated Psys test.
4. Iout Calcs Tab: updated IMVP8 IMON
5. Transient LL test - PS0 to PSx, ignore PSx ripple, only measure droop when switching power states.</t>
  </si>
  <si>
    <t>Initial release. BETA version.</t>
  </si>
  <si>
    <r>
      <rPr>
        <b/>
        <sz val="10"/>
        <color rgb="FF00B0F0"/>
        <rFont val="Arial"/>
        <family val="2"/>
      </rPr>
      <t>Required</t>
    </r>
    <r>
      <rPr>
        <b/>
        <sz val="10"/>
        <rFont val="Arial"/>
        <family val="2"/>
      </rPr>
      <t>/</t>
    </r>
    <r>
      <rPr>
        <b/>
        <sz val="10"/>
        <color rgb="FF00B050"/>
        <rFont val="Arial"/>
        <family val="2"/>
      </rPr>
      <t>Optional</t>
    </r>
  </si>
  <si>
    <t>PL1</t>
  </si>
  <si>
    <t>Typically the TDP of the processor</t>
  </si>
  <si>
    <t>LT_TDC</t>
  </si>
  <si>
    <t>Voltage measurement from the bottom of ripple in PS0 to bottom of droop or ripple going into PS1</t>
  </si>
  <si>
    <t>Voltage measurement from the bottom of ripple in PS1 to bottom of droop or ripple going into PS0</t>
  </si>
  <si>
    <t>Voltage measurement from the bottom of ripple in PS0 to bottom of droop or ripple going into PS2</t>
  </si>
  <si>
    <t>Voltage measurement from the bottom of ripple in PS2 to bottom of droop or ripple going into PS0</t>
  </si>
  <si>
    <t>Voltage measurement from the bottom of ripple in PS0 to bottom of droop or ripple going into PS3</t>
  </si>
  <si>
    <t>Voltage measurement from the bottom of ripple in PS3 to bottom of droop or ripple going into PS0</t>
  </si>
  <si>
    <t>W</t>
  </si>
  <si>
    <t>Max Voltage droop 
PS0 to PS3</t>
  </si>
  <si>
    <t>Max Voltage droop 
PS3 to PS0</t>
  </si>
  <si>
    <t>3 minutes</t>
  </si>
  <si>
    <t>5 minutes</t>
  </si>
  <si>
    <t>7 minutes</t>
  </si>
  <si>
    <t>10 minutes</t>
  </si>
  <si>
    <t>Monitor Alert# and VR_HOT# for less than 60 seconds on Mobile Platforms,or less than 30 seconds on DT Platforms."</t>
  </si>
  <si>
    <t>1. Spec Entry Tab: LT_TDC is equivalent to VR_TDC.
2. Transient LL Tab: Updated the following calculation on Max Voltage Droop.
- Max Voltage Droop (PS0 to PS1)
- Max Voltage Droop (PS1 to PS0)
- Max Voltage Droop (PS0 to PS2)
- Max Voltage Droop (PS2 to PS0)
- Max Voltage Droop (PS0 to PS3)
- Max Voltage Droop (PS3 to PS0)</t>
  </si>
  <si>
    <t>Document Number: 548439</t>
  </si>
  <si>
    <t>27/12/2017</t>
  </si>
  <si>
    <t>Thermal Compensation Test</t>
  </si>
  <si>
    <t>Voltage droop PS3 to PS0</t>
  </si>
  <si>
    <t>Voltage droop PS0 to PS3</t>
  </si>
  <si>
    <t xml:space="preserve">1.Thermal Compensation Tab: Updated Test Specification                                                                                                                                                                             '2.Transient LL Tab:                                                                                                                                                                                                    Update the calculation for min Current on Large and Small step Transient                                                                                                                                                                                                               Updated the following calculation on Max Voltage Droop                                                                                                                                                        - Max Voltage Droop (PS0 to PS1)
- Max Voltage Droop (PS1 to PS0)
- Max Voltage Droop (PS0 to PS2)
- Max Voltage Droop (PS2 to PS0)
- Max Voltage Droop (PS0 to PS3)
- Max Voltage Droop (PS3 to PS0)         </t>
  </si>
  <si>
    <r>
      <t>Revisi</t>
    </r>
    <r>
      <rPr>
        <b/>
        <sz val="10"/>
        <color indexed="8"/>
        <rFont val="Verdana"/>
        <family val="2"/>
      </rPr>
      <t>on 1.2</t>
    </r>
  </si>
  <si>
    <t>You may not use or facilitate the use of this document in connection with any infringement or other legal analysis concerning Intel products described herein. You agree to grant Intel a non-exclusive, royalty-free license to any patent claim thereafter drafted which includes subject matter disclosed herein.
No license (express or implied, by estoppel or otherwise) to any intellectual property rights is granted by this document.
Intel technologies’ features and benefits depend on system configuration and may require enabled hardware, software or service activation. Performance varies depending on system configuration. No computer system can be absolutely secure. Check with your system manufacturer or retailer or learn more at intel.com.
Intel technologies may require enabled hardware, specific software, or services activation. Check with your system manufacturer or retailer.
The products described may contain design defects or errors known as errata which may cause the product to deviate from published specifications. Current characterized errata are available on request.
Intel disclaims all express and implied warranties, including without limitation, the implied warranties of merchantability, fitness for a particular purpose, and non-infringement, as well as any warranty arising from course of performance, course of dealing, or usage in trade.
All information provided here is subject to change without notice. Contact your Intel representative to obtain the latest Intel product specifications and roadmaps.
Copies of documents which have an order number and are referenced in this document may be obtained by calling 1-800-548-4725 or visit www.intel.com/design/literature.htm.
Intel, the Intel logo, are trademarks of Intel Corporation in the U.S. and/or other countries. 
*Other names and brands may be claimed as the property of others.
© 2018 Intel Corporation. All rights reserved.</t>
  </si>
  <si>
    <t>24CE</t>
  </si>
  <si>
    <t>24CD</t>
  </si>
  <si>
    <t>047E</t>
  </si>
  <si>
    <t>é</t>
    <phoneticPr fontId="86" type="noConversion"/>
  </si>
  <si>
    <t>7A</t>
    <phoneticPr fontId="8" type="noConversion"/>
  </si>
  <si>
    <t>8C</t>
    <phoneticPr fontId="8" type="noConversion"/>
  </si>
  <si>
    <t>9F</t>
    <phoneticPr fontId="8" type="noConversion"/>
  </si>
  <si>
    <t>B2</t>
    <phoneticPr fontId="8" type="noConversion"/>
  </si>
  <si>
    <t>0C</t>
    <phoneticPr fontId="8" type="noConversion"/>
  </si>
  <si>
    <t>04D1</t>
  </si>
  <si>
    <t>24BF</t>
  </si>
  <si>
    <t>247F</t>
  </si>
  <si>
    <t>24D0</t>
  </si>
  <si>
    <t>04CF</t>
  </si>
  <si>
    <t>24C4</t>
  </si>
  <si>
    <t>248F</t>
  </si>
</sst>
</file>

<file path=xl/styles.xml><?xml version="1.0" encoding="utf-8"?>
<styleSheet xmlns="http://schemas.openxmlformats.org/spreadsheetml/2006/main">
  <numFmts count="24">
    <numFmt numFmtId="176" formatCode="0.00000"/>
    <numFmt numFmtId="177" formatCode="\ 0\ &quot;A&quot;"/>
    <numFmt numFmtId="178" formatCode="0.0"/>
    <numFmt numFmtId="179" formatCode="0.0000_ "/>
    <numFmt numFmtId="180" formatCode="0.0%"/>
    <numFmt numFmtId="181" formatCode="0.00000\ \V"/>
    <numFmt numFmtId="182" formatCode="0.000\ \V"/>
    <numFmt numFmtId="183" formatCode="0\ &quot;A/us&quot;"/>
    <numFmt numFmtId="184" formatCode="#.###0\ &quot;V&quot;"/>
    <numFmt numFmtId="185" formatCode="0.0000"/>
    <numFmt numFmtId="186" formatCode="0.000"/>
    <numFmt numFmtId="187" formatCode="0\ &quot;us&quot;"/>
    <numFmt numFmtId="188" formatCode="#.##\ &quot;us&quot;"/>
    <numFmt numFmtId="189" formatCode="#\ &quot;us&quot;"/>
    <numFmt numFmtId="190" formatCode="0.0\ &quot;us&quot;"/>
    <numFmt numFmtId="191" formatCode="#\ &quot;mV&quot;"/>
    <numFmt numFmtId="192" formatCode="0\ &quot;ns&quot;"/>
    <numFmt numFmtId="193" formatCode="00000000"/>
    <numFmt numFmtId="194" formatCode="0&quot; A&quot;"/>
    <numFmt numFmtId="195" formatCode="[$-F400]h:mm:ss\ AM/PM"/>
    <numFmt numFmtId="196" formatCode="0\ &quot;A&quot;"/>
    <numFmt numFmtId="197" formatCode="_([$€-2]* #,##0.00_);_([$€-2]* \(#,##0.00\);_([$€-2]* &quot;-&quot;??_)"/>
    <numFmt numFmtId="198" formatCode="0.00&quot;mV&quot;"/>
    <numFmt numFmtId="199" formatCode="0.0000_);[Red]\(0.0000\)"/>
  </numFmts>
  <fonts count="87">
    <font>
      <sz val="10"/>
      <name val="Arial"/>
    </font>
    <font>
      <sz val="11"/>
      <color theme="1"/>
      <name val="新細明體"/>
      <family val="2"/>
      <scheme val="minor"/>
    </font>
    <font>
      <sz val="10"/>
      <name val="Arial"/>
      <family val="2"/>
    </font>
    <font>
      <sz val="10"/>
      <color indexed="9"/>
      <name val="Tahoma"/>
      <family val="2"/>
    </font>
    <font>
      <sz val="14"/>
      <color indexed="9"/>
      <name val="Tahoma"/>
      <family val="2"/>
    </font>
    <font>
      <sz val="8"/>
      <color indexed="18"/>
      <name val="Tahoma"/>
      <family val="2"/>
    </font>
    <font>
      <sz val="10"/>
      <color indexed="12"/>
      <name val="Tahoma"/>
      <family val="2"/>
    </font>
    <font>
      <sz val="10"/>
      <color indexed="8"/>
      <name val="Tahoma"/>
      <family val="2"/>
    </font>
    <font>
      <sz val="8"/>
      <name val="Arial"/>
      <family val="2"/>
    </font>
    <font>
      <sz val="10"/>
      <color indexed="10"/>
      <name val="Tahoma"/>
      <family val="2"/>
    </font>
    <font>
      <sz val="10"/>
      <color indexed="12"/>
      <name val="Arial"/>
      <family val="2"/>
    </font>
    <font>
      <b/>
      <sz val="14"/>
      <color indexed="10"/>
      <name val="Tahoma"/>
      <family val="2"/>
    </font>
    <font>
      <sz val="8"/>
      <name val="Arial"/>
      <family val="2"/>
    </font>
    <font>
      <sz val="8"/>
      <color indexed="9"/>
      <name val="Arial"/>
      <family val="2"/>
    </font>
    <font>
      <b/>
      <sz val="12"/>
      <name val="Wingdings"/>
      <charset val="2"/>
    </font>
    <font>
      <sz val="10"/>
      <name val="Tahoma"/>
      <family val="2"/>
    </font>
    <font>
      <sz val="10"/>
      <name val="Arial"/>
      <family val="2"/>
    </font>
    <font>
      <sz val="8"/>
      <name val="Tahoma"/>
      <family val="2"/>
    </font>
    <font>
      <sz val="8"/>
      <color indexed="8"/>
      <name val="Arial"/>
      <family val="2"/>
    </font>
    <font>
      <sz val="20"/>
      <name val="Tahoma"/>
      <family val="2"/>
    </font>
    <font>
      <sz val="10"/>
      <name val="Arial"/>
      <family val="2"/>
    </font>
    <font>
      <b/>
      <sz val="12"/>
      <name val="Arial"/>
      <family val="2"/>
    </font>
    <font>
      <b/>
      <sz val="10"/>
      <name val="Arial"/>
      <family val="2"/>
    </font>
    <font>
      <b/>
      <sz val="10"/>
      <name val="Arial"/>
      <family val="2"/>
    </font>
    <font>
      <b/>
      <sz val="10"/>
      <name val="Tahoma"/>
      <family val="2"/>
    </font>
    <font>
      <b/>
      <sz val="12"/>
      <color indexed="9"/>
      <name val="Arial"/>
      <family val="2"/>
    </font>
    <font>
      <sz val="10"/>
      <name val="Arial"/>
      <family val="2"/>
    </font>
    <font>
      <b/>
      <sz val="9"/>
      <name val="Arial"/>
      <family val="2"/>
    </font>
    <font>
      <b/>
      <sz val="11"/>
      <color indexed="9"/>
      <name val="Arial"/>
      <family val="2"/>
    </font>
    <font>
      <sz val="10"/>
      <color indexed="9"/>
      <name val="Arial"/>
      <family val="2"/>
    </font>
    <font>
      <b/>
      <sz val="10"/>
      <color indexed="9"/>
      <name val="Arial"/>
      <family val="2"/>
    </font>
    <font>
      <b/>
      <sz val="10"/>
      <color indexed="9"/>
      <name val="Tahoma"/>
      <family val="2"/>
    </font>
    <font>
      <sz val="12"/>
      <color indexed="8"/>
      <name val="Tahoma"/>
      <family val="2"/>
    </font>
    <font>
      <sz val="10"/>
      <color indexed="10"/>
      <name val="Arial"/>
      <family val="2"/>
    </font>
    <font>
      <sz val="10"/>
      <color indexed="8"/>
      <name val="Arial"/>
      <family val="2"/>
    </font>
    <font>
      <b/>
      <u/>
      <sz val="16"/>
      <name val="Arial"/>
      <family val="2"/>
    </font>
    <font>
      <sz val="9"/>
      <name val="Arial"/>
      <family val="2"/>
    </font>
    <font>
      <b/>
      <u/>
      <sz val="10"/>
      <name val="Arial"/>
      <family val="2"/>
    </font>
    <font>
      <b/>
      <sz val="14"/>
      <color indexed="9"/>
      <name val="Arial"/>
      <family val="2"/>
    </font>
    <font>
      <sz val="16"/>
      <name val="Arial"/>
      <family val="2"/>
    </font>
    <font>
      <b/>
      <sz val="8"/>
      <name val="Arial"/>
      <family val="2"/>
    </font>
    <font>
      <sz val="12"/>
      <name val="Arial"/>
      <family val="2"/>
    </font>
    <font>
      <b/>
      <sz val="10"/>
      <name val="Wingdings"/>
      <charset val="2"/>
    </font>
    <font>
      <sz val="10"/>
      <name val="Arial"/>
      <family val="2"/>
    </font>
    <font>
      <sz val="11"/>
      <name val="Arial"/>
      <family val="2"/>
    </font>
    <font>
      <sz val="14"/>
      <name val="Arial"/>
      <family val="2"/>
    </font>
    <font>
      <strike/>
      <sz val="12"/>
      <color indexed="8"/>
      <name val="Tahoma"/>
      <family val="2"/>
    </font>
    <font>
      <i/>
      <sz val="9"/>
      <name val="Arial"/>
      <family val="2"/>
    </font>
    <font>
      <sz val="11"/>
      <color theme="1"/>
      <name val="新細明體"/>
      <family val="2"/>
      <scheme val="minor"/>
    </font>
    <font>
      <sz val="11"/>
      <color rgb="FF9C0006"/>
      <name val="新細明體"/>
      <family val="2"/>
      <scheme val="minor"/>
    </font>
    <font>
      <b/>
      <sz val="11"/>
      <color rgb="FFFA7D00"/>
      <name val="新細明體"/>
      <family val="2"/>
      <scheme val="minor"/>
    </font>
    <font>
      <sz val="11"/>
      <color rgb="FF006100"/>
      <name val="新細明體"/>
      <family val="2"/>
      <scheme val="minor"/>
    </font>
    <font>
      <b/>
      <sz val="11"/>
      <color theme="1"/>
      <name val="新細明體"/>
      <family val="2"/>
      <scheme val="minor"/>
    </font>
    <font>
      <sz val="11"/>
      <color rgb="FFFF0000"/>
      <name val="新細明體"/>
      <family val="2"/>
      <scheme val="minor"/>
    </font>
    <font>
      <b/>
      <sz val="12"/>
      <color theme="1"/>
      <name val="新細明體"/>
      <family val="2"/>
      <scheme val="minor"/>
    </font>
    <font>
      <b/>
      <sz val="12"/>
      <color theme="0"/>
      <name val="新細明體"/>
      <family val="2"/>
      <scheme val="minor"/>
    </font>
    <font>
      <b/>
      <u/>
      <sz val="11"/>
      <color theme="1"/>
      <name val="新細明體"/>
      <family val="2"/>
      <scheme val="minor"/>
    </font>
    <font>
      <b/>
      <sz val="10"/>
      <color theme="1"/>
      <name val="新細明體"/>
      <family val="2"/>
      <scheme val="minor"/>
    </font>
    <font>
      <b/>
      <sz val="10"/>
      <color rgb="FFFF0000"/>
      <name val="新細明體"/>
      <family val="2"/>
      <scheme val="minor"/>
    </font>
    <font>
      <sz val="11"/>
      <color theme="1"/>
      <name val="Arial"/>
      <family val="2"/>
    </font>
    <font>
      <b/>
      <sz val="11"/>
      <color rgb="FFFF0000"/>
      <name val="新細明體"/>
      <family val="2"/>
      <scheme val="minor"/>
    </font>
    <font>
      <sz val="11"/>
      <name val="新細明體"/>
      <family val="2"/>
      <scheme val="minor"/>
    </font>
    <font>
      <sz val="10"/>
      <color rgb="FF0000FF"/>
      <name val="Tahoma"/>
      <family val="2"/>
    </font>
    <font>
      <b/>
      <sz val="11"/>
      <color rgb="FFC00000"/>
      <name val="新細明體"/>
      <family val="2"/>
      <scheme val="minor"/>
    </font>
    <font>
      <sz val="10"/>
      <color rgb="FF000000"/>
      <name val="Arial"/>
      <family val="2"/>
    </font>
    <font>
      <sz val="10"/>
      <color theme="0"/>
      <name val="Arial"/>
      <family val="2"/>
    </font>
    <font>
      <sz val="10"/>
      <color theme="0"/>
      <name val="Tahoma"/>
      <family val="2"/>
    </font>
    <font>
      <b/>
      <i/>
      <sz val="9"/>
      <color theme="1"/>
      <name val="新細明體"/>
      <family val="2"/>
      <scheme val="minor"/>
    </font>
    <font>
      <sz val="11"/>
      <color theme="0"/>
      <name val="Arial"/>
      <family val="2"/>
    </font>
    <font>
      <sz val="16"/>
      <color rgb="FF9C0006"/>
      <name val="新細明體"/>
      <family val="2"/>
      <scheme val="minor"/>
    </font>
    <font>
      <b/>
      <sz val="10"/>
      <color theme="0"/>
      <name val="Arial"/>
      <family val="2"/>
    </font>
    <font>
      <b/>
      <sz val="8"/>
      <color indexed="81"/>
      <name val="Tahoma"/>
      <family val="2"/>
    </font>
    <font>
      <sz val="8"/>
      <color indexed="81"/>
      <name val="Tahoma"/>
      <family val="2"/>
    </font>
    <font>
      <b/>
      <sz val="10"/>
      <color theme="1"/>
      <name val="Arial"/>
      <family val="2"/>
    </font>
    <font>
      <b/>
      <sz val="14"/>
      <name val="Arial"/>
      <family val="2"/>
    </font>
    <font>
      <sz val="10"/>
      <color theme="1"/>
      <name val="Arial"/>
      <family val="2"/>
    </font>
    <font>
      <sz val="10"/>
      <color rgb="FFFF0000"/>
      <name val="Arial"/>
      <family val="2"/>
    </font>
    <font>
      <sz val="10"/>
      <color rgb="FF00B050"/>
      <name val="Arial"/>
      <family val="2"/>
    </font>
    <font>
      <b/>
      <sz val="10"/>
      <color rgb="FF00B0F0"/>
      <name val="Arial"/>
      <family val="2"/>
    </font>
    <font>
      <b/>
      <sz val="10"/>
      <color rgb="FF00B050"/>
      <name val="Arial"/>
      <family val="2"/>
    </font>
    <font>
      <b/>
      <sz val="9"/>
      <color theme="0"/>
      <name val="Arial"/>
      <family val="2"/>
    </font>
    <font>
      <b/>
      <sz val="16"/>
      <color theme="0"/>
      <name val="Verdana"/>
      <family val="2"/>
    </font>
    <font>
      <b/>
      <sz val="16"/>
      <color indexed="10"/>
      <name val="Verdana"/>
      <family val="2"/>
    </font>
    <font>
      <b/>
      <sz val="10"/>
      <name val="Verdana"/>
      <family val="2"/>
    </font>
    <font>
      <b/>
      <sz val="10"/>
      <color indexed="8"/>
      <name val="Verdana"/>
      <family val="2"/>
    </font>
    <font>
      <b/>
      <sz val="9"/>
      <name val="Verdana"/>
      <family val="2"/>
    </font>
    <font>
      <sz val="9"/>
      <name val="細明體"/>
      <family val="3"/>
      <charset val="136"/>
    </font>
  </fonts>
  <fills count="47">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10"/>
        <bgColor indexed="64"/>
      </patternFill>
    </fill>
    <fill>
      <patternFill patternType="solid">
        <fgColor indexed="40"/>
        <bgColor indexed="64"/>
      </patternFill>
    </fill>
    <fill>
      <patternFill patternType="solid">
        <fgColor indexed="47"/>
        <bgColor indexed="64"/>
      </patternFill>
    </fill>
    <fill>
      <patternFill patternType="solid">
        <fgColor indexed="51"/>
        <bgColor indexed="64"/>
      </patternFill>
    </fill>
    <fill>
      <patternFill patternType="solid">
        <fgColor indexed="14"/>
        <bgColor indexed="64"/>
      </patternFill>
    </fill>
    <fill>
      <patternFill patternType="solid">
        <fgColor indexed="15"/>
        <bgColor indexed="64"/>
      </patternFill>
    </fill>
    <fill>
      <patternFill patternType="solid">
        <fgColor indexed="9"/>
        <bgColor indexed="64"/>
      </patternFill>
    </fill>
    <fill>
      <patternFill patternType="solid">
        <fgColor indexed="61"/>
        <bgColor indexed="64"/>
      </patternFill>
    </fill>
    <fill>
      <patternFill patternType="solid">
        <fgColor indexed="46"/>
        <bgColor indexed="64"/>
      </patternFill>
    </fill>
    <fill>
      <patternFill patternType="solid">
        <fgColor indexed="12"/>
        <bgColor indexed="64"/>
      </patternFill>
    </fill>
    <fill>
      <patternFill patternType="lightTrellis"/>
    </fill>
    <fill>
      <patternFill patternType="solid">
        <fgColor rgb="FFFFC7CE"/>
      </patternFill>
    </fill>
    <fill>
      <patternFill patternType="solid">
        <fgColor rgb="FFF2F2F2"/>
      </patternFill>
    </fill>
    <fill>
      <patternFill patternType="solid">
        <fgColor rgb="FFC6EFCE"/>
      </patternFill>
    </fill>
    <fill>
      <patternFill patternType="solid">
        <fgColor theme="9" tint="0.59999389629810485"/>
        <bgColor indexed="64"/>
      </patternFill>
    </fill>
    <fill>
      <patternFill patternType="solid">
        <fgColor rgb="FF92D050"/>
        <bgColor indexed="64"/>
      </patternFill>
    </fill>
    <fill>
      <patternFill patternType="solid">
        <fgColor rgb="FFFFFF99"/>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theme="0"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CCFFFF"/>
        <bgColor indexed="64"/>
      </patternFill>
    </fill>
    <fill>
      <patternFill patternType="solid">
        <fgColor theme="0"/>
        <bgColor indexed="64"/>
      </patternFill>
    </fill>
    <fill>
      <patternFill patternType="solid">
        <fgColor rgb="FFFFCC99"/>
        <bgColor indexed="64"/>
      </patternFill>
    </fill>
    <fill>
      <patternFill patternType="solid">
        <fgColor rgb="FF00FFFF"/>
        <bgColor indexed="64"/>
      </patternFill>
    </fill>
    <fill>
      <patternFill patternType="solid">
        <fgColor rgb="FF0000FF"/>
        <bgColor indexed="64"/>
      </patternFill>
    </fill>
    <fill>
      <patternFill patternType="solid">
        <fgColor rgb="FFCCFFCC"/>
        <bgColor indexed="64"/>
      </patternFill>
    </fill>
    <fill>
      <patternFill patternType="solid">
        <fgColor rgb="FF00CCFF"/>
        <bgColor indexed="64"/>
      </patternFill>
    </fill>
    <fill>
      <patternFill patternType="solid">
        <fgColor rgb="FFFFCC00"/>
        <bgColor indexed="64"/>
      </patternFill>
    </fill>
    <fill>
      <patternFill patternType="solid">
        <fgColor rgb="FF9933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BFBCF"/>
        <bgColor indexed="64"/>
      </patternFill>
    </fill>
    <fill>
      <patternFill patternType="solid">
        <fgColor theme="5" tint="0.59996337778862885"/>
        <bgColor indexed="64"/>
      </patternFill>
    </fill>
    <fill>
      <patternFill patternType="solid">
        <fgColor theme="9" tint="0.39994506668294322"/>
        <bgColor indexed="64"/>
      </patternFill>
    </fill>
    <fill>
      <patternFill patternType="solid">
        <fgColor theme="4" tint="0.39994506668294322"/>
        <bgColor indexed="64"/>
      </patternFill>
    </fill>
    <fill>
      <patternFill patternType="solid">
        <fgColor theme="6" tint="0.39994506668294322"/>
        <bgColor indexed="64"/>
      </patternFill>
    </fill>
    <fill>
      <patternFill patternType="solid">
        <fgColor rgb="FFC6EFCE"/>
        <bgColor indexed="64"/>
      </patternFill>
    </fill>
    <fill>
      <patternFill patternType="solid">
        <fgColor rgb="FFFFD5B4"/>
        <bgColor indexed="64"/>
      </patternFill>
    </fill>
    <fill>
      <patternFill patternType="solid">
        <fgColor rgb="FFFFFFFF"/>
        <bgColor indexed="64"/>
      </patternFill>
    </fill>
    <fill>
      <patternFill patternType="solid">
        <fgColor theme="0" tint="-4.9989318521683403E-2"/>
        <bgColor indexed="64"/>
      </patternFill>
    </fill>
  </fills>
  <borders count="110">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double">
        <color indexed="64"/>
      </bottom>
      <diagonal/>
    </border>
    <border>
      <left style="double">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rgb="FF7F7F7F"/>
      </left>
      <right style="thin">
        <color rgb="FF7F7F7F"/>
      </right>
      <top style="thin">
        <color rgb="FF7F7F7F"/>
      </top>
      <bottom style="thin">
        <color rgb="FF7F7F7F"/>
      </bottom>
      <diagonal/>
    </border>
    <border>
      <left/>
      <right style="thin">
        <color indexed="64"/>
      </right>
      <top style="medium">
        <color indexed="64"/>
      </top>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bottom style="thin">
        <color auto="1"/>
      </bottom>
      <diagonal/>
    </border>
    <border>
      <left style="thick">
        <color auto="1"/>
      </left>
      <right/>
      <top style="thick">
        <color auto="1"/>
      </top>
      <bottom/>
      <diagonal/>
    </border>
    <border>
      <left style="thick">
        <color auto="1"/>
      </left>
      <right/>
      <top/>
      <bottom style="medium">
        <color auto="1"/>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medium">
        <color auto="1"/>
      </left>
      <right/>
      <top style="thick">
        <color auto="1"/>
      </top>
      <bottom style="thin">
        <color auto="1"/>
      </bottom>
      <diagonal/>
    </border>
    <border>
      <left style="medium">
        <color auto="1"/>
      </left>
      <right style="thin">
        <color auto="1"/>
      </right>
      <top style="thin">
        <color auto="1"/>
      </top>
      <bottom style="thick">
        <color auto="1"/>
      </bottom>
      <diagonal/>
    </border>
    <border>
      <left style="thin">
        <color indexed="64"/>
      </left>
      <right style="thin">
        <color indexed="64"/>
      </right>
      <top style="thin">
        <color indexed="64"/>
      </top>
      <bottom style="thick">
        <color auto="1"/>
      </bottom>
      <diagonal/>
    </border>
    <border>
      <left style="thin">
        <color auto="1"/>
      </left>
      <right/>
      <top style="thin">
        <color auto="1"/>
      </top>
      <bottom style="thick">
        <color auto="1"/>
      </bottom>
      <diagonal/>
    </border>
    <border>
      <left/>
      <right/>
      <top style="thick">
        <color auto="1"/>
      </top>
      <bottom/>
      <diagonal/>
    </border>
    <border>
      <left/>
      <right/>
      <top style="thin">
        <color auto="1"/>
      </top>
      <bottom style="thick">
        <color auto="1"/>
      </bottom>
      <diagonal/>
    </border>
    <border>
      <left/>
      <right style="thin">
        <color auto="1"/>
      </right>
      <top style="thick">
        <color auto="1"/>
      </top>
      <bottom style="thin">
        <color auto="1"/>
      </bottom>
      <diagonal/>
    </border>
    <border>
      <left style="thin">
        <color auto="1"/>
      </left>
      <right style="thin">
        <color auto="1"/>
      </right>
      <top style="thick">
        <color auto="1"/>
      </top>
      <bottom/>
      <diagonal/>
    </border>
    <border>
      <left style="thin">
        <color auto="1"/>
      </left>
      <right/>
      <top style="thick">
        <color auto="1"/>
      </top>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n">
        <color indexed="64"/>
      </left>
      <right style="thick">
        <color auto="1"/>
      </right>
      <top/>
      <bottom style="medium">
        <color indexed="64"/>
      </bottom>
      <diagonal/>
    </border>
    <border>
      <left style="thin">
        <color auto="1"/>
      </left>
      <right style="thick">
        <color auto="1"/>
      </right>
      <top style="thick">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ck">
        <color indexed="64"/>
      </right>
      <top style="thick">
        <color indexed="64"/>
      </top>
      <bottom/>
      <diagonal/>
    </border>
    <border>
      <left/>
      <right style="thick">
        <color indexed="64"/>
      </right>
      <top/>
      <bottom style="medium">
        <color indexed="64"/>
      </bottom>
      <diagonal/>
    </border>
  </borders>
  <cellStyleXfs count="11">
    <xf numFmtId="0" fontId="0" fillId="0" borderId="0"/>
    <xf numFmtId="0" fontId="49" fillId="15" borderId="0" applyNumberFormat="0" applyBorder="0" applyAlignment="0" applyProtection="0"/>
    <xf numFmtId="0" fontId="50" fillId="16" borderId="75" applyNumberFormat="0" applyAlignment="0" applyProtection="0"/>
    <xf numFmtId="0" fontId="51" fillId="17" borderId="0" applyNumberFormat="0" applyBorder="0" applyAlignment="0" applyProtection="0"/>
    <xf numFmtId="0" fontId="16" fillId="0" borderId="0"/>
    <xf numFmtId="0" fontId="48" fillId="0" borderId="0"/>
    <xf numFmtId="9" fontId="2" fillId="0" borderId="0" applyFont="0" applyFill="0" applyBorder="0" applyAlignment="0" applyProtection="0"/>
    <xf numFmtId="9" fontId="16" fillId="0" borderId="0" applyFont="0" applyFill="0" applyBorder="0" applyAlignment="0" applyProtection="0"/>
    <xf numFmtId="197" fontId="2" fillId="0" borderId="0"/>
    <xf numFmtId="197" fontId="2" fillId="0" borderId="0"/>
    <xf numFmtId="0" fontId="2" fillId="0" borderId="0"/>
  </cellStyleXfs>
  <cellXfs count="1103">
    <xf numFmtId="0" fontId="0" fillId="0" borderId="0" xfId="0"/>
    <xf numFmtId="0" fontId="3" fillId="0" borderId="0" xfId="0" applyFont="1" applyFill="1" applyBorder="1" applyAlignment="1">
      <alignment horizontal="right"/>
    </xf>
    <xf numFmtId="0" fontId="3" fillId="0" borderId="0" xfId="0" applyFont="1" applyFill="1" applyBorder="1" applyAlignment="1">
      <alignment horizontal="center"/>
    </xf>
    <xf numFmtId="0" fontId="3" fillId="0" borderId="0" xfId="0" applyFont="1" applyFill="1" applyBorder="1" applyAlignment="1"/>
    <xf numFmtId="0" fontId="5" fillId="0" borderId="1" xfId="0" applyFont="1" applyFill="1" applyBorder="1" applyAlignment="1">
      <alignment horizontal="right"/>
    </xf>
    <xf numFmtId="0" fontId="5" fillId="0" borderId="0" xfId="0" applyFont="1" applyFill="1" applyBorder="1" applyAlignment="1">
      <alignment horizontal="right"/>
    </xf>
    <xf numFmtId="0" fontId="5" fillId="0" borderId="2" xfId="0" applyFont="1" applyFill="1" applyBorder="1" applyAlignment="1">
      <alignment horizontal="right"/>
    </xf>
    <xf numFmtId="0" fontId="5" fillId="0" borderId="3" xfId="0" applyFont="1" applyFill="1" applyBorder="1" applyAlignment="1">
      <alignment horizontal="right"/>
    </xf>
    <xf numFmtId="0" fontId="6" fillId="2" borderId="4" xfId="0" applyFont="1" applyFill="1" applyBorder="1" applyAlignment="1">
      <alignment horizontal="center"/>
    </xf>
    <xf numFmtId="0" fontId="5" fillId="0" borderId="1" xfId="0" applyFont="1" applyFill="1" applyBorder="1" applyAlignment="1">
      <alignment horizontal="right" wrapText="1"/>
    </xf>
    <xf numFmtId="0" fontId="9" fillId="0" borderId="0"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0" fillId="0" borderId="0" xfId="0" applyAlignment="1">
      <alignment horizontal="center"/>
    </xf>
    <xf numFmtId="0" fontId="10" fillId="0" borderId="0" xfId="0" applyFont="1" applyAlignment="1">
      <alignment horizontal="center"/>
    </xf>
    <xf numFmtId="0" fontId="6" fillId="0" borderId="0" xfId="0" applyFont="1" applyFill="1" applyBorder="1" applyAlignment="1">
      <alignment horizontal="center"/>
    </xf>
    <xf numFmtId="0" fontId="6" fillId="0" borderId="8" xfId="0" applyFont="1" applyFill="1" applyBorder="1" applyAlignment="1">
      <alignment horizontal="center"/>
    </xf>
    <xf numFmtId="0" fontId="0" fillId="0" borderId="0" xfId="0" applyBorder="1"/>
    <xf numFmtId="0" fontId="11" fillId="0" borderId="0" xfId="0" applyFont="1" applyFill="1" applyBorder="1" applyAlignment="1">
      <alignment horizontal="center" vertical="center"/>
    </xf>
    <xf numFmtId="0" fontId="12" fillId="0" borderId="0" xfId="0" applyFont="1" applyFill="1" applyBorder="1"/>
    <xf numFmtId="0" fontId="12" fillId="0" borderId="0" xfId="0" applyFont="1" applyFill="1" applyBorder="1" applyAlignment="1">
      <alignment horizontal="center"/>
    </xf>
    <xf numFmtId="0" fontId="14" fillId="4" borderId="0" xfId="0" applyFont="1" applyFill="1" applyBorder="1" applyAlignment="1">
      <alignment horizontal="center"/>
    </xf>
    <xf numFmtId="0" fontId="7" fillId="5" borderId="7" xfId="0" applyFont="1"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0" fillId="6" borderId="8" xfId="0" applyFill="1" applyBorder="1" applyAlignment="1">
      <alignment horizontal="center"/>
    </xf>
    <xf numFmtId="0" fontId="0" fillId="0" borderId="1" xfId="0" applyBorder="1" applyAlignment="1">
      <alignment horizontal="center"/>
    </xf>
    <xf numFmtId="0" fontId="0" fillId="0" borderId="9" xfId="0" applyFill="1" applyBorder="1" applyAlignment="1">
      <alignment horizontal="center"/>
    </xf>
    <xf numFmtId="0" fontId="0" fillId="0" borderId="1" xfId="0" applyFill="1" applyBorder="1" applyAlignment="1">
      <alignment horizontal="center"/>
    </xf>
    <xf numFmtId="0" fontId="0" fillId="0" borderId="1" xfId="0" applyBorder="1"/>
    <xf numFmtId="0" fontId="0" fillId="0" borderId="9" xfId="0" applyBorder="1"/>
    <xf numFmtId="179" fontId="0" fillId="7" borderId="8" xfId="0" applyNumberFormat="1" applyFill="1" applyBorder="1" applyAlignment="1">
      <alignment horizontal="center"/>
    </xf>
    <xf numFmtId="0" fontId="0" fillId="0" borderId="9" xfId="0" applyBorder="1" applyAlignment="1">
      <alignment horizontal="center"/>
    </xf>
    <xf numFmtId="0" fontId="12" fillId="0" borderId="7" xfId="0" applyFont="1" applyBorder="1" applyAlignment="1">
      <alignment horizontal="center" wrapText="1"/>
    </xf>
    <xf numFmtId="0" fontId="13" fillId="0" borderId="0" xfId="0" applyFont="1" applyFill="1" applyBorder="1" applyAlignment="1"/>
    <xf numFmtId="0" fontId="12" fillId="0" borderId="0" xfId="0" applyFont="1" applyFill="1" applyBorder="1" applyAlignment="1"/>
    <xf numFmtId="0" fontId="4" fillId="8" borderId="0" xfId="0" applyFont="1" applyFill="1" applyBorder="1" applyAlignment="1">
      <alignment horizontal="center" vertical="center"/>
    </xf>
    <xf numFmtId="0" fontId="7" fillId="3" borderId="10" xfId="0" applyFont="1" applyFill="1" applyBorder="1" applyAlignment="1">
      <alignment horizontal="center"/>
    </xf>
    <xf numFmtId="0" fontId="7" fillId="3" borderId="11" xfId="0" applyFont="1" applyFill="1" applyBorder="1" applyAlignment="1">
      <alignment horizontal="center"/>
    </xf>
    <xf numFmtId="0" fontId="6" fillId="0" borderId="12" xfId="0" applyFont="1" applyFill="1" applyBorder="1" applyAlignment="1">
      <alignment horizontal="center"/>
    </xf>
    <xf numFmtId="0" fontId="0" fillId="6" borderId="13" xfId="0" applyFill="1" applyBorder="1" applyAlignment="1">
      <alignment horizontal="center"/>
    </xf>
    <xf numFmtId="0" fontId="15" fillId="0" borderId="0" xfId="0" applyFont="1" applyFill="1" applyBorder="1" applyAlignment="1"/>
    <xf numFmtId="0" fontId="15" fillId="0" borderId="0" xfId="0" applyFont="1" applyFill="1" applyBorder="1" applyAlignment="1">
      <alignment horizontal="center"/>
    </xf>
    <xf numFmtId="0" fontId="15" fillId="0" borderId="0" xfId="0" applyFont="1" applyFill="1" applyBorder="1"/>
    <xf numFmtId="0" fontId="16" fillId="0" borderId="0" xfId="0" applyFont="1"/>
    <xf numFmtId="0" fontId="12" fillId="0" borderId="0" xfId="0" applyFont="1" applyFill="1" applyBorder="1" applyAlignment="1" applyProtection="1">
      <alignment vertical="center" wrapText="1"/>
    </xf>
    <xf numFmtId="0" fontId="8" fillId="0" borderId="0" xfId="0" applyFont="1"/>
    <xf numFmtId="0" fontId="13" fillId="0" borderId="0" xfId="0" applyFont="1" applyFill="1" applyBorder="1"/>
    <xf numFmtId="0" fontId="8" fillId="0" borderId="0" xfId="0" applyFont="1" applyFill="1" applyBorder="1"/>
    <xf numFmtId="0" fontId="17" fillId="0" borderId="0" xfId="0" applyFont="1" applyFill="1" applyBorder="1" applyAlignment="1"/>
    <xf numFmtId="0" fontId="17" fillId="0" borderId="0" xfId="0" applyFont="1" applyFill="1" applyBorder="1"/>
    <xf numFmtId="9" fontId="7" fillId="0" borderId="0" xfId="0" applyNumberFormat="1" applyFont="1" applyFill="1" applyBorder="1" applyAlignment="1">
      <alignment horizontal="center"/>
    </xf>
    <xf numFmtId="0" fontId="7" fillId="9" borderId="7" xfId="0" applyFont="1" applyFill="1" applyBorder="1" applyAlignment="1">
      <alignment horizontal="center"/>
    </xf>
    <xf numFmtId="0" fontId="12" fillId="0" borderId="0" xfId="0" applyFont="1" applyFill="1" applyBorder="1" applyAlignment="1">
      <alignment wrapText="1"/>
    </xf>
    <xf numFmtId="0" fontId="12" fillId="0" borderId="8" xfId="0" applyFont="1" applyFill="1" applyBorder="1" applyAlignment="1">
      <alignment horizontal="center" wrapText="1"/>
    </xf>
    <xf numFmtId="0" fontId="12" fillId="0" borderId="1" xfId="0" applyFont="1" applyBorder="1" applyAlignment="1">
      <alignment horizontal="center"/>
    </xf>
    <xf numFmtId="0" fontId="12" fillId="0" borderId="2" xfId="0" applyFont="1" applyBorder="1" applyAlignment="1">
      <alignment horizontal="center"/>
    </xf>
    <xf numFmtId="0" fontId="12" fillId="0" borderId="3" xfId="0" applyFont="1" applyFill="1" applyBorder="1" applyAlignment="1">
      <alignment wrapText="1"/>
    </xf>
    <xf numFmtId="0" fontId="12" fillId="0" borderId="12" xfId="0" applyFont="1" applyFill="1" applyBorder="1" applyAlignment="1">
      <alignment wrapText="1"/>
    </xf>
    <xf numFmtId="177" fontId="12" fillId="0" borderId="0" xfId="0" applyNumberFormat="1"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lignment horizontal="center" vertical="center" wrapText="1"/>
    </xf>
    <xf numFmtId="0" fontId="0" fillId="0" borderId="0" xfId="0" applyFill="1" applyBorder="1"/>
    <xf numFmtId="179" fontId="0" fillId="0" borderId="3" xfId="0" applyNumberFormat="1" applyFill="1" applyBorder="1"/>
    <xf numFmtId="0" fontId="0" fillId="0" borderId="13" xfId="0" applyFill="1" applyBorder="1" applyAlignment="1">
      <alignment horizontal="center"/>
    </xf>
    <xf numFmtId="0" fontId="0" fillId="0" borderId="0" xfId="0" applyAlignment="1"/>
    <xf numFmtId="0" fontId="0" fillId="0" borderId="0" xfId="0" applyBorder="1" applyAlignment="1"/>
    <xf numFmtId="0" fontId="0" fillId="0" borderId="7" xfId="0" applyBorder="1" applyAlignment="1">
      <alignment horizontal="center"/>
    </xf>
    <xf numFmtId="179" fontId="0" fillId="7" borderId="14" xfId="0" applyNumberFormat="1" applyFill="1" applyBorder="1" applyAlignment="1">
      <alignment horizontal="center"/>
    </xf>
    <xf numFmtId="0" fontId="2" fillId="0" borderId="0" xfId="0" applyFont="1"/>
    <xf numFmtId="0" fontId="20" fillId="0" borderId="0" xfId="0" applyFont="1"/>
    <xf numFmtId="0" fontId="15" fillId="10" borderId="0" xfId="0" applyFont="1" applyFill="1" applyBorder="1"/>
    <xf numFmtId="0" fontId="19" fillId="0" borderId="0" xfId="0" applyFont="1" applyFill="1" applyBorder="1" applyAlignment="1">
      <alignment horizontal="center"/>
    </xf>
    <xf numFmtId="0" fontId="21" fillId="0" borderId="0" xfId="0" applyFont="1" applyBorder="1" applyAlignment="1">
      <alignment horizontal="center" vertical="center"/>
    </xf>
    <xf numFmtId="0" fontId="12" fillId="0" borderId="7" xfId="0" applyFont="1" applyFill="1" applyBorder="1" applyAlignment="1">
      <alignment horizontal="center" wrapText="1"/>
    </xf>
    <xf numFmtId="0" fontId="0" fillId="3" borderId="7" xfId="0" applyFill="1" applyBorder="1" applyAlignment="1">
      <alignment horizontal="center"/>
    </xf>
    <xf numFmtId="0" fontId="0" fillId="6" borderId="14" xfId="0" applyFill="1" applyBorder="1" applyAlignment="1">
      <alignment horizontal="center"/>
    </xf>
    <xf numFmtId="0" fontId="0" fillId="6" borderId="15" xfId="0" applyFill="1" applyBorder="1" applyAlignment="1">
      <alignment horizontal="center"/>
    </xf>
    <xf numFmtId="1" fontId="12" fillId="0" borderId="1" xfId="0" applyNumberFormat="1" applyFont="1" applyFill="1" applyBorder="1" applyAlignment="1">
      <alignment horizontal="center"/>
    </xf>
    <xf numFmtId="1" fontId="12" fillId="0" borderId="1" xfId="0" applyNumberFormat="1" applyFont="1" applyBorder="1" applyAlignment="1">
      <alignment horizontal="center"/>
    </xf>
    <xf numFmtId="0" fontId="0" fillId="0" borderId="0" xfId="0" applyFill="1"/>
    <xf numFmtId="9" fontId="0" fillId="3" borderId="8" xfId="0" applyNumberFormat="1" applyFill="1" applyBorder="1" applyAlignment="1">
      <alignment horizontal="center"/>
    </xf>
    <xf numFmtId="9" fontId="0" fillId="3" borderId="7" xfId="0" applyNumberFormat="1" applyFill="1" applyBorder="1" applyAlignment="1">
      <alignment horizontal="center"/>
    </xf>
    <xf numFmtId="0" fontId="12" fillId="0" borderId="12" xfId="0" applyFont="1" applyFill="1" applyBorder="1" applyAlignment="1">
      <alignment horizontal="center" wrapText="1"/>
    </xf>
    <xf numFmtId="0" fontId="12" fillId="0" borderId="0" xfId="0" applyFont="1" applyFill="1" applyBorder="1" applyAlignment="1">
      <alignment horizontal="center" wrapText="1"/>
    </xf>
    <xf numFmtId="179" fontId="0" fillId="0" borderId="0" xfId="0" applyNumberFormat="1" applyFill="1" applyBorder="1"/>
    <xf numFmtId="179" fontId="0" fillId="0" borderId="12" xfId="0" applyNumberFormat="1" applyFill="1" applyBorder="1" applyAlignment="1">
      <alignment horizontal="center"/>
    </xf>
    <xf numFmtId="179" fontId="0" fillId="0" borderId="0" xfId="0" applyNumberFormat="1" applyFill="1" applyBorder="1" applyAlignment="1">
      <alignment horizontal="center"/>
    </xf>
    <xf numFmtId="0" fontId="24" fillId="0" borderId="0" xfId="0" applyFont="1" applyFill="1" applyBorder="1"/>
    <xf numFmtId="0" fontId="0" fillId="11" borderId="0" xfId="0" applyFill="1"/>
    <xf numFmtId="0" fontId="12" fillId="11" borderId="0" xfId="0" applyFont="1" applyFill="1" applyBorder="1" applyAlignment="1">
      <alignment horizontal="center"/>
    </xf>
    <xf numFmtId="0" fontId="12" fillId="11" borderId="0" xfId="0" applyFont="1" applyFill="1" applyBorder="1" applyAlignment="1">
      <alignment wrapText="1"/>
    </xf>
    <xf numFmtId="0" fontId="12" fillId="11" borderId="0" xfId="0" applyFont="1" applyFill="1" applyBorder="1" applyAlignment="1">
      <alignment horizontal="center" wrapText="1"/>
    </xf>
    <xf numFmtId="0" fontId="0" fillId="11" borderId="0" xfId="0" applyFill="1" applyBorder="1"/>
    <xf numFmtId="0" fontId="24" fillId="11" borderId="0" xfId="0" applyFont="1" applyFill="1" applyBorder="1"/>
    <xf numFmtId="0" fontId="0" fillId="11" borderId="0" xfId="0" applyFill="1" applyAlignment="1">
      <alignment horizontal="center"/>
    </xf>
    <xf numFmtId="0" fontId="26" fillId="0" borderId="0" xfId="0" applyFont="1"/>
    <xf numFmtId="0" fontId="23" fillId="0" borderId="0" xfId="0" applyFont="1" applyFill="1" applyBorder="1" applyAlignment="1">
      <alignment horizontal="center"/>
    </xf>
    <xf numFmtId="9" fontId="0" fillId="6" borderId="8" xfId="0" applyNumberFormat="1" applyFill="1" applyBorder="1" applyAlignment="1">
      <alignment horizontal="center"/>
    </xf>
    <xf numFmtId="0" fontId="12" fillId="11" borderId="0" xfId="0" applyFont="1" applyFill="1" applyBorder="1"/>
    <xf numFmtId="0" fontId="17" fillId="11" borderId="0" xfId="0" applyFont="1" applyFill="1" applyBorder="1" applyAlignment="1"/>
    <xf numFmtId="0" fontId="17" fillId="11" borderId="0" xfId="0" applyFont="1" applyFill="1" applyBorder="1"/>
    <xf numFmtId="0" fontId="8" fillId="11" borderId="0" xfId="0" applyFont="1" applyFill="1"/>
    <xf numFmtId="0" fontId="0" fillId="0" borderId="0" xfId="0" applyNumberFormat="1" applyAlignment="1"/>
    <xf numFmtId="0" fontId="23" fillId="0" borderId="0" xfId="0" applyNumberFormat="1" applyFont="1" applyAlignment="1">
      <alignment horizontal="center"/>
    </xf>
    <xf numFmtId="0" fontId="23" fillId="0" borderId="0" xfId="0" applyFont="1" applyAlignment="1">
      <alignment horizontal="center"/>
    </xf>
    <xf numFmtId="0" fontId="12" fillId="0" borderId="16" xfId="0" applyFont="1" applyBorder="1" applyAlignment="1">
      <alignment horizontal="center" wrapText="1"/>
    </xf>
    <xf numFmtId="0" fontId="12" fillId="0" borderId="16" xfId="0" applyFont="1" applyFill="1" applyBorder="1" applyAlignment="1">
      <alignment horizontal="center" wrapText="1"/>
    </xf>
    <xf numFmtId="0" fontId="12" fillId="0" borderId="17" xfId="0" applyFont="1" applyFill="1" applyBorder="1" applyAlignment="1">
      <alignment horizontal="center" wrapText="1"/>
    </xf>
    <xf numFmtId="0" fontId="14" fillId="4" borderId="3" xfId="0" applyFont="1" applyFill="1" applyBorder="1" applyAlignment="1">
      <alignment horizontal="center"/>
    </xf>
    <xf numFmtId="0" fontId="0" fillId="0" borderId="3" xfId="0" applyBorder="1"/>
    <xf numFmtId="0" fontId="0" fillId="0" borderId="12" xfId="0" applyBorder="1"/>
    <xf numFmtId="0" fontId="0" fillId="0" borderId="2" xfId="0" applyFill="1" applyBorder="1"/>
    <xf numFmtId="2" fontId="0" fillId="0" borderId="0" xfId="0" applyNumberFormat="1"/>
    <xf numFmtId="177" fontId="12" fillId="0" borderId="0" xfId="0" applyNumberFormat="1" applyFont="1" applyFill="1" applyBorder="1" applyAlignment="1" applyProtection="1">
      <alignment vertical="center" wrapText="1"/>
      <protection hidden="1"/>
    </xf>
    <xf numFmtId="0" fontId="0" fillId="0" borderId="0" xfId="0" applyAlignment="1">
      <alignment horizontal="left"/>
    </xf>
    <xf numFmtId="0" fontId="25" fillId="0" borderId="0" xfId="0" applyFont="1" applyFill="1" applyBorder="1" applyAlignment="1" applyProtection="1">
      <alignment horizontal="center" vertical="center" wrapText="1"/>
      <protection hidden="1"/>
    </xf>
    <xf numFmtId="190" fontId="0" fillId="0" borderId="0" xfId="0" applyNumberFormat="1" applyFill="1" applyBorder="1"/>
    <xf numFmtId="190" fontId="0" fillId="5" borderId="7" xfId="0" applyNumberFormat="1" applyFill="1" applyBorder="1" applyAlignment="1">
      <alignment horizontal="center"/>
    </xf>
    <xf numFmtId="0" fontId="0" fillId="0" borderId="0" xfId="0" applyFill="1" applyAlignment="1">
      <alignment horizontal="center"/>
    </xf>
    <xf numFmtId="0" fontId="6" fillId="0" borderId="13" xfId="0" applyFont="1" applyFill="1" applyBorder="1" applyAlignment="1">
      <alignment horizontal="center"/>
    </xf>
    <xf numFmtId="0" fontId="27" fillId="0" borderId="0" xfId="0" applyFont="1" applyFill="1" applyBorder="1" applyAlignment="1">
      <alignment vertical="center" wrapText="1"/>
    </xf>
    <xf numFmtId="0" fontId="27" fillId="0" borderId="0" xfId="0" applyFont="1" applyFill="1" applyBorder="1" applyAlignment="1">
      <alignment horizontal="center"/>
    </xf>
    <xf numFmtId="190" fontId="0" fillId="0" borderId="0" xfId="0" applyNumberFormat="1" applyFill="1" applyBorder="1" applyAlignment="1">
      <alignment horizontal="center"/>
    </xf>
    <xf numFmtId="190" fontId="0" fillId="0" borderId="9" xfId="0" applyNumberFormat="1" applyFill="1" applyBorder="1" applyAlignment="1">
      <alignment horizontal="center"/>
    </xf>
    <xf numFmtId="0" fontId="0" fillId="5" borderId="7" xfId="0" applyFill="1" applyBorder="1" applyAlignment="1">
      <alignment horizontal="center"/>
    </xf>
    <xf numFmtId="0" fontId="29" fillId="0" borderId="0" xfId="0" applyFont="1"/>
    <xf numFmtId="0" fontId="30" fillId="0" borderId="0" xfId="0" applyFont="1"/>
    <xf numFmtId="0" fontId="31" fillId="0" borderId="0" xfId="0" applyFont="1" applyFill="1" applyBorder="1"/>
    <xf numFmtId="0" fontId="7" fillId="12" borderId="7" xfId="0" applyFont="1" applyFill="1" applyBorder="1" applyAlignment="1">
      <alignment horizontal="center"/>
    </xf>
    <xf numFmtId="184" fontId="12" fillId="0" borderId="0" xfId="0" applyNumberFormat="1" applyFont="1" applyFill="1" applyBorder="1" applyAlignment="1">
      <alignment horizontal="center" vertical="center" wrapText="1"/>
    </xf>
    <xf numFmtId="184" fontId="18" fillId="0" borderId="0" xfId="0" applyNumberFormat="1" applyFont="1" applyFill="1" applyBorder="1" applyAlignment="1" applyProtection="1">
      <alignment horizontal="center" vertical="center" wrapText="1"/>
    </xf>
    <xf numFmtId="184" fontId="12" fillId="0" borderId="0" xfId="0" applyNumberFormat="1" applyFont="1" applyFill="1" applyBorder="1" applyAlignment="1" applyProtection="1">
      <alignment horizontal="center" vertical="center" wrapText="1"/>
      <protection hidden="1"/>
    </xf>
    <xf numFmtId="0" fontId="12" fillId="0" borderId="0" xfId="0" applyFont="1" applyFill="1" applyBorder="1" applyAlignment="1" applyProtection="1">
      <alignment vertical="center" wrapText="1"/>
      <protection hidden="1"/>
    </xf>
    <xf numFmtId="0" fontId="12" fillId="0" borderId="18" xfId="0" applyFont="1" applyFill="1" applyBorder="1" applyAlignment="1" applyProtection="1">
      <alignment vertical="center" wrapText="1"/>
      <protection hidden="1"/>
    </xf>
    <xf numFmtId="0" fontId="0" fillId="0" borderId="0" xfId="0" applyFill="1" applyBorder="1" applyAlignment="1"/>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0" fontId="8"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6" fillId="0" borderId="0" xfId="0" applyFont="1" applyFill="1" applyBorder="1"/>
    <xf numFmtId="0" fontId="4" fillId="0" borderId="0" xfId="0" applyFont="1" applyFill="1" applyBorder="1" applyAlignment="1">
      <alignment horizontal="center" vertical="center"/>
    </xf>
    <xf numFmtId="0" fontId="2" fillId="0" borderId="0" xfId="0" applyFont="1" applyFill="1"/>
    <xf numFmtId="0" fontId="16" fillId="0" borderId="0" xfId="0" applyFont="1" applyFill="1"/>
    <xf numFmtId="0" fontId="24" fillId="11" borderId="0" xfId="0" applyFont="1" applyFill="1" applyBorder="1" applyAlignment="1">
      <alignment horizontal="center"/>
    </xf>
    <xf numFmtId="185" fontId="33" fillId="0" borderId="0" xfId="0" applyNumberFormat="1" applyFont="1" applyFill="1" applyBorder="1" applyAlignment="1">
      <alignment horizontal="center"/>
    </xf>
    <xf numFmtId="186" fontId="0" fillId="7" borderId="14" xfId="0" applyNumberFormat="1" applyFill="1" applyBorder="1" applyAlignment="1">
      <alignment horizontal="center"/>
    </xf>
    <xf numFmtId="186" fontId="0" fillId="6" borderId="8" xfId="0" applyNumberFormat="1" applyFill="1" applyBorder="1" applyAlignment="1">
      <alignment horizontal="center"/>
    </xf>
    <xf numFmtId="186" fontId="0" fillId="7" borderId="8" xfId="0" applyNumberFormat="1" applyFill="1" applyBorder="1" applyAlignment="1">
      <alignment horizontal="center"/>
    </xf>
    <xf numFmtId="186" fontId="0" fillId="6" borderId="14" xfId="0" applyNumberFormat="1" applyFill="1" applyBorder="1" applyAlignment="1">
      <alignment horizontal="center"/>
    </xf>
    <xf numFmtId="0" fontId="8" fillId="0" borderId="0" xfId="0" applyFont="1" applyBorder="1" applyAlignment="1">
      <alignment horizontal="center" vertical="center" wrapText="1"/>
    </xf>
    <xf numFmtId="0" fontId="15" fillId="0" borderId="1" xfId="0" applyFont="1" applyFill="1" applyBorder="1" applyAlignment="1"/>
    <xf numFmtId="0" fontId="27" fillId="5" borderId="7" xfId="0" applyFont="1" applyFill="1" applyBorder="1" applyAlignment="1">
      <alignment horizontal="center"/>
    </xf>
    <xf numFmtId="0" fontId="27" fillId="5" borderId="19" xfId="0" applyFont="1" applyFill="1" applyBorder="1" applyAlignment="1">
      <alignment horizontal="center"/>
    </xf>
    <xf numFmtId="0" fontId="26" fillId="2" borderId="20" xfId="0" applyFont="1" applyFill="1" applyBorder="1" applyAlignment="1" applyProtection="1">
      <alignment horizontal="center" vertical="center" wrapText="1"/>
      <protection hidden="1"/>
    </xf>
    <xf numFmtId="0" fontId="26" fillId="0" borderId="20" xfId="0" applyFont="1" applyFill="1" applyBorder="1" applyAlignment="1" applyProtection="1">
      <alignment horizontal="center" vertical="center" wrapText="1"/>
      <protection hidden="1"/>
    </xf>
    <xf numFmtId="0" fontId="26" fillId="2" borderId="21"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hidden="1"/>
    </xf>
    <xf numFmtId="181" fontId="26" fillId="2" borderId="10" xfId="0" applyNumberFormat="1" applyFont="1" applyFill="1" applyBorder="1" applyAlignment="1">
      <alignment horizontal="center" vertical="center" wrapText="1"/>
    </xf>
    <xf numFmtId="177" fontId="26" fillId="0" borderId="0" xfId="0" applyNumberFormat="1" applyFont="1" applyFill="1" applyBorder="1" applyAlignment="1" applyProtection="1">
      <alignment horizontal="center" vertical="center" wrapText="1"/>
      <protection hidden="1"/>
    </xf>
    <xf numFmtId="183" fontId="26" fillId="2" borderId="20" xfId="0" applyNumberFormat="1" applyFont="1" applyFill="1" applyBorder="1" applyAlignment="1">
      <alignment horizontal="center" vertical="center" wrapText="1"/>
    </xf>
    <xf numFmtId="183" fontId="26" fillId="0" borderId="22" xfId="0" applyNumberFormat="1" applyFont="1" applyFill="1" applyBorder="1" applyAlignment="1">
      <alignment horizontal="center" vertical="center" wrapText="1"/>
    </xf>
    <xf numFmtId="9" fontId="26" fillId="2" borderId="10" xfId="0"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177" fontId="26" fillId="2" borderId="7" xfId="0" applyNumberFormat="1" applyFont="1" applyFill="1" applyBorder="1" applyAlignment="1" applyProtection="1">
      <alignment horizontal="center" vertical="center" wrapText="1"/>
      <protection hidden="1"/>
    </xf>
    <xf numFmtId="177" fontId="26" fillId="5" borderId="7" xfId="0" applyNumberFormat="1" applyFont="1" applyFill="1" applyBorder="1" applyAlignment="1" applyProtection="1">
      <alignment horizontal="center" vertical="center" wrapText="1"/>
      <protection hidden="1"/>
    </xf>
    <xf numFmtId="184" fontId="26" fillId="0" borderId="0" xfId="0" applyNumberFormat="1" applyFont="1" applyFill="1" applyBorder="1" applyAlignment="1">
      <alignment horizontal="center" vertical="center" wrapText="1"/>
    </xf>
    <xf numFmtId="0" fontId="26" fillId="0" borderId="0" xfId="0" applyFont="1" applyFill="1" applyBorder="1" applyAlignment="1" applyProtection="1">
      <alignment vertical="center" wrapText="1"/>
      <protection hidden="1"/>
    </xf>
    <xf numFmtId="9" fontId="0" fillId="7" borderId="14" xfId="0" applyNumberFormat="1" applyFill="1" applyBorder="1" applyAlignment="1">
      <alignment horizontal="center"/>
    </xf>
    <xf numFmtId="179" fontId="0" fillId="7" borderId="13" xfId="0" applyNumberFormat="1" applyFill="1" applyBorder="1" applyAlignment="1">
      <alignment horizontal="center"/>
    </xf>
    <xf numFmtId="0" fontId="27" fillId="0" borderId="0" xfId="0" applyFont="1" applyFill="1" applyBorder="1" applyAlignment="1">
      <alignment horizontal="left"/>
    </xf>
    <xf numFmtId="0" fontId="8" fillId="0" borderId="0" xfId="0" applyFont="1" applyFill="1"/>
    <xf numFmtId="1" fontId="12" fillId="2" borderId="7" xfId="0" applyNumberFormat="1" applyFont="1" applyFill="1" applyBorder="1" applyAlignment="1">
      <alignment horizontal="center"/>
    </xf>
    <xf numFmtId="0" fontId="12" fillId="2" borderId="7" xfId="0" applyFont="1" applyFill="1" applyBorder="1" applyAlignment="1">
      <alignment horizontal="center" wrapText="1"/>
    </xf>
    <xf numFmtId="0" fontId="12" fillId="0" borderId="23" xfId="0" applyFont="1" applyFill="1" applyBorder="1" applyAlignment="1"/>
    <xf numFmtId="0" fontId="12" fillId="0" borderId="24" xfId="0" applyFont="1" applyFill="1" applyBorder="1" applyAlignment="1"/>
    <xf numFmtId="184" fontId="34" fillId="0" borderId="0" xfId="0" applyNumberFormat="1" applyFont="1" applyFill="1" applyBorder="1" applyAlignment="1" applyProtection="1">
      <alignment horizontal="center" vertical="center" wrapText="1"/>
    </xf>
    <xf numFmtId="190" fontId="26" fillId="0" borderId="0" xfId="0" applyNumberFormat="1" applyFont="1" applyFill="1" applyBorder="1"/>
    <xf numFmtId="0" fontId="26" fillId="0" borderId="0" xfId="0" applyFont="1" applyFill="1" applyBorder="1" applyAlignment="1">
      <alignment vertical="center" wrapText="1"/>
    </xf>
    <xf numFmtId="177" fontId="26" fillId="0" borderId="0" xfId="0" applyNumberFormat="1" applyFont="1" applyFill="1" applyBorder="1" applyAlignment="1" applyProtection="1">
      <alignment vertical="center" wrapText="1"/>
      <protection hidden="1"/>
    </xf>
    <xf numFmtId="0" fontId="0" fillId="0" borderId="7" xfId="0" applyBorder="1"/>
    <xf numFmtId="0" fontId="16" fillId="0" borderId="7" xfId="0" applyFont="1" applyBorder="1"/>
    <xf numFmtId="190" fontId="0" fillId="7" borderId="8" xfId="0" applyNumberFormat="1" applyFill="1" applyBorder="1" applyAlignment="1">
      <alignment horizontal="center"/>
    </xf>
    <xf numFmtId="190" fontId="0" fillId="18" borderId="8" xfId="0" applyNumberFormat="1" applyFill="1" applyBorder="1" applyAlignment="1">
      <alignment horizontal="center"/>
    </xf>
    <xf numFmtId="0" fontId="8" fillId="0" borderId="0" xfId="0" applyFont="1" applyAlignment="1">
      <alignment horizontal="left"/>
    </xf>
    <xf numFmtId="185" fontId="8" fillId="0" borderId="0" xfId="0" applyNumberFormat="1" applyFont="1" applyAlignment="1">
      <alignment horizontal="left"/>
    </xf>
    <xf numFmtId="185" fontId="8" fillId="0" borderId="0" xfId="0" applyNumberFormat="1" applyFont="1" applyFill="1" applyBorder="1" applyAlignment="1">
      <alignment horizontal="left"/>
    </xf>
    <xf numFmtId="185" fontId="8" fillId="0" borderId="0" xfId="0" applyNumberFormat="1" applyFont="1" applyBorder="1" applyAlignment="1">
      <alignment horizontal="left"/>
    </xf>
    <xf numFmtId="0" fontId="8" fillId="0" borderId="0" xfId="0" applyFont="1" applyAlignment="1">
      <alignment horizontal="left" wrapText="1"/>
    </xf>
    <xf numFmtId="179" fontId="8" fillId="0" borderId="0" xfId="0" applyNumberFormat="1" applyFont="1" applyAlignment="1">
      <alignment horizontal="left"/>
    </xf>
    <xf numFmtId="185" fontId="17" fillId="0" borderId="0" xfId="0" applyNumberFormat="1" applyFont="1" applyFill="1" applyBorder="1" applyAlignment="1">
      <alignment horizontal="left"/>
    </xf>
    <xf numFmtId="179" fontId="8" fillId="0" borderId="0" xfId="0" applyNumberFormat="1" applyFont="1" applyFill="1" applyBorder="1" applyAlignment="1">
      <alignment horizontal="left"/>
    </xf>
    <xf numFmtId="0" fontId="8" fillId="0" borderId="0" xfId="0" applyFont="1" applyFill="1" applyAlignment="1">
      <alignment horizontal="left"/>
    </xf>
    <xf numFmtId="185" fontId="8" fillId="0" borderId="0" xfId="0" applyNumberFormat="1" applyFont="1" applyFill="1" applyAlignment="1">
      <alignment horizontal="left"/>
    </xf>
    <xf numFmtId="0" fontId="35" fillId="0" borderId="0" xfId="0" applyFont="1" applyAlignment="1">
      <alignment horizontal="center"/>
    </xf>
    <xf numFmtId="0" fontId="23" fillId="19" borderId="0" xfId="0" applyFont="1" applyFill="1" applyAlignment="1">
      <alignment horizontal="center"/>
    </xf>
    <xf numFmtId="0" fontId="23" fillId="20" borderId="0" xfId="0" applyFont="1" applyFill="1" applyAlignment="1">
      <alignment horizontal="center"/>
    </xf>
    <xf numFmtId="0" fontId="23" fillId="0" borderId="0" xfId="0" applyFont="1" applyFill="1" applyAlignment="1">
      <alignment horizontal="center"/>
    </xf>
    <xf numFmtId="0" fontId="37" fillId="0" borderId="0" xfId="0" applyFont="1" applyAlignment="1">
      <alignment horizontal="center" wrapText="1"/>
    </xf>
    <xf numFmtId="11" fontId="15" fillId="0" borderId="0" xfId="0" applyNumberFormat="1" applyFont="1" applyFill="1" applyBorder="1" applyAlignment="1">
      <alignment horizontal="center"/>
    </xf>
    <xf numFmtId="0" fontId="16" fillId="10" borderId="0" xfId="4" applyFill="1" applyAlignment="1" applyProtection="1">
      <alignment vertical="center"/>
      <protection hidden="1"/>
    </xf>
    <xf numFmtId="0" fontId="16" fillId="10" borderId="0" xfId="4" applyFill="1" applyAlignment="1" applyProtection="1">
      <alignment horizontal="center" vertical="center"/>
      <protection hidden="1"/>
    </xf>
    <xf numFmtId="0" fontId="16" fillId="10" borderId="0" xfId="4" applyFill="1" applyAlignment="1" applyProtection="1">
      <alignment horizontal="left" vertical="center"/>
      <protection hidden="1"/>
    </xf>
    <xf numFmtId="0" fontId="39" fillId="10" borderId="0" xfId="4" applyFont="1" applyFill="1" applyAlignment="1" applyProtection="1">
      <alignment vertical="center"/>
      <protection hidden="1"/>
    </xf>
    <xf numFmtId="0" fontId="8" fillId="10" borderId="29" xfId="4" applyFont="1" applyFill="1" applyBorder="1" applyAlignment="1" applyProtection="1">
      <alignment horizontal="center" vertical="center"/>
      <protection hidden="1"/>
    </xf>
    <xf numFmtId="0" fontId="8" fillId="10" borderId="7" xfId="4" applyFont="1" applyFill="1" applyBorder="1" applyAlignment="1" applyProtection="1">
      <alignment horizontal="center" vertical="center"/>
      <protection hidden="1"/>
    </xf>
    <xf numFmtId="0" fontId="8" fillId="10" borderId="8" xfId="4" applyFont="1" applyFill="1" applyBorder="1" applyAlignment="1" applyProtection="1">
      <alignment horizontal="center" vertical="center"/>
      <protection hidden="1"/>
    </xf>
    <xf numFmtId="0" fontId="16" fillId="10" borderId="0" xfId="4" applyFont="1" applyFill="1" applyAlignment="1" applyProtection="1">
      <alignment vertical="center"/>
      <protection hidden="1"/>
    </xf>
    <xf numFmtId="0" fontId="40" fillId="10" borderId="30" xfId="4" applyFont="1" applyFill="1" applyBorder="1" applyAlignment="1" applyProtection="1">
      <alignment horizontal="center" vertical="center"/>
      <protection hidden="1"/>
    </xf>
    <xf numFmtId="0" fontId="40" fillId="10" borderId="10" xfId="4" applyFont="1" applyFill="1" applyBorder="1" applyAlignment="1" applyProtection="1">
      <alignment horizontal="center" vertical="center"/>
      <protection hidden="1"/>
    </xf>
    <xf numFmtId="0" fontId="40" fillId="10" borderId="31" xfId="4" applyFont="1" applyFill="1" applyBorder="1" applyAlignment="1" applyProtection="1">
      <alignment horizontal="center" vertical="center"/>
      <protection hidden="1"/>
    </xf>
    <xf numFmtId="0" fontId="41" fillId="10" borderId="0" xfId="4" applyFont="1" applyFill="1" applyAlignment="1" applyProtection="1">
      <alignment vertical="center"/>
      <protection hidden="1"/>
    </xf>
    <xf numFmtId="2" fontId="8" fillId="10" borderId="29" xfId="4" applyNumberFormat="1" applyFont="1" applyFill="1" applyBorder="1" applyAlignment="1" applyProtection="1">
      <alignment horizontal="center" vertical="center"/>
      <protection hidden="1"/>
    </xf>
    <xf numFmtId="14" fontId="8" fillId="10" borderId="7" xfId="4" applyNumberFormat="1" applyFont="1" applyFill="1" applyBorder="1" applyAlignment="1" applyProtection="1">
      <alignment horizontal="center" vertical="center"/>
      <protection hidden="1"/>
    </xf>
    <xf numFmtId="0" fontId="8" fillId="10" borderId="8" xfId="4" applyFont="1" applyFill="1" applyBorder="1" applyAlignment="1" applyProtection="1">
      <alignment horizontal="left" vertical="center" wrapText="1"/>
      <protection hidden="1"/>
    </xf>
    <xf numFmtId="0" fontId="8" fillId="0" borderId="8" xfId="4" applyFont="1" applyBorder="1" applyAlignment="1" applyProtection="1">
      <alignment horizontal="left" vertical="center" wrapText="1"/>
      <protection hidden="1"/>
    </xf>
    <xf numFmtId="2" fontId="8" fillId="10" borderId="32" xfId="4" applyNumberFormat="1" applyFont="1" applyFill="1" applyBorder="1" applyAlignment="1" applyProtection="1">
      <alignment horizontal="center" vertical="center"/>
      <protection hidden="1"/>
    </xf>
    <xf numFmtId="14" fontId="8" fillId="10" borderId="11" xfId="4" applyNumberFormat="1" applyFont="1" applyFill="1" applyBorder="1" applyAlignment="1" applyProtection="1">
      <alignment horizontal="center" vertical="center"/>
      <protection hidden="1"/>
    </xf>
    <xf numFmtId="0" fontId="8" fillId="10" borderId="13" xfId="4" applyFont="1" applyFill="1" applyBorder="1" applyAlignment="1" applyProtection="1">
      <alignment horizontal="left" vertical="center" wrapText="1"/>
      <protection hidden="1"/>
    </xf>
    <xf numFmtId="0" fontId="27" fillId="6" borderId="19" xfId="0" applyFont="1" applyFill="1" applyBorder="1" applyAlignment="1">
      <alignment horizontal="left"/>
    </xf>
    <xf numFmtId="0" fontId="25" fillId="13" borderId="0" xfId="0" applyFont="1" applyFill="1" applyBorder="1" applyAlignment="1" applyProtection="1">
      <alignment horizontal="center" vertical="center" wrapText="1"/>
      <protection hidden="1"/>
    </xf>
    <xf numFmtId="0" fontId="0" fillId="0" borderId="3" xfId="0" applyBorder="1" applyAlignment="1">
      <alignment horizontal="center"/>
    </xf>
    <xf numFmtId="0" fontId="23" fillId="0" borderId="0" xfId="0" applyFont="1" applyFill="1" applyBorder="1" applyAlignment="1">
      <alignment horizontal="left"/>
    </xf>
    <xf numFmtId="0" fontId="26" fillId="0" borderId="21" xfId="0" applyFont="1" applyFill="1" applyBorder="1" applyAlignment="1" applyProtection="1">
      <alignment horizontal="center" vertical="center" wrapText="1"/>
      <protection hidden="1"/>
    </xf>
    <xf numFmtId="0" fontId="30" fillId="0" borderId="22"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center" vertical="center" wrapText="1"/>
      <protection hidden="1"/>
    </xf>
    <xf numFmtId="0" fontId="16" fillId="2" borderId="33" xfId="0" applyFont="1" applyFill="1" applyBorder="1"/>
    <xf numFmtId="184" fontId="16" fillId="2" borderId="19" xfId="0" applyNumberFormat="1" applyFont="1" applyFill="1" applyBorder="1" applyAlignment="1">
      <alignment horizontal="center" vertical="center" wrapText="1"/>
    </xf>
    <xf numFmtId="0" fontId="16" fillId="2" borderId="33" xfId="0" applyFont="1" applyFill="1" applyBorder="1" applyAlignment="1" applyProtection="1">
      <alignment vertical="center" wrapText="1"/>
      <protection hidden="1"/>
    </xf>
    <xf numFmtId="177" fontId="16" fillId="2" borderId="19" xfId="0" applyNumberFormat="1" applyFont="1" applyFill="1" applyBorder="1" applyAlignment="1" applyProtection="1">
      <alignment horizontal="center" vertical="center" wrapText="1"/>
      <protection hidden="1"/>
    </xf>
    <xf numFmtId="0" fontId="16" fillId="0" borderId="0" xfId="0" applyFont="1" applyFill="1" applyBorder="1" applyAlignment="1" applyProtection="1">
      <alignment horizontal="center" vertical="center" wrapText="1"/>
      <protection hidden="1"/>
    </xf>
    <xf numFmtId="182" fontId="26" fillId="0" borderId="22" xfId="0" applyNumberFormat="1" applyFont="1" applyFill="1" applyBorder="1" applyAlignment="1">
      <alignment horizontal="center" vertical="center" wrapText="1"/>
    </xf>
    <xf numFmtId="182" fontId="26" fillId="0" borderId="34" xfId="0" applyNumberFormat="1" applyFont="1" applyFill="1" applyBorder="1" applyAlignment="1">
      <alignment horizontal="center" vertical="center" wrapText="1"/>
    </xf>
    <xf numFmtId="0" fontId="0" fillId="0" borderId="34" xfId="0" applyBorder="1"/>
    <xf numFmtId="0" fontId="26" fillId="0" borderId="22" xfId="0" applyFont="1" applyFill="1" applyBorder="1" applyAlignment="1">
      <alignment horizontal="center" vertical="center" wrapText="1"/>
    </xf>
    <xf numFmtId="183" fontId="26" fillId="0" borderId="0" xfId="0" applyNumberFormat="1" applyFont="1" applyFill="1" applyBorder="1" applyAlignment="1">
      <alignment horizontal="center" vertical="center" wrapText="1"/>
    </xf>
    <xf numFmtId="0" fontId="26" fillId="2" borderId="35" xfId="0" applyFont="1" applyFill="1" applyBorder="1" applyAlignment="1" applyProtection="1">
      <alignment horizontal="center" vertical="center" wrapText="1"/>
      <protection hidden="1"/>
    </xf>
    <xf numFmtId="0" fontId="0" fillId="0" borderId="4" xfId="0" applyBorder="1"/>
    <xf numFmtId="177" fontId="26" fillId="2" borderId="36" xfId="0" applyNumberFormat="1" applyFont="1" applyFill="1" applyBorder="1" applyAlignment="1" applyProtection="1">
      <alignment horizontal="center" vertical="center" wrapText="1"/>
      <protection hidden="1"/>
    </xf>
    <xf numFmtId="177" fontId="16" fillId="2" borderId="37" xfId="0" applyNumberFormat="1" applyFont="1" applyFill="1" applyBorder="1" applyAlignment="1" applyProtection="1">
      <alignment horizontal="center" vertical="center" wrapText="1"/>
      <protection hidden="1"/>
    </xf>
    <xf numFmtId="177" fontId="16" fillId="2" borderId="38" xfId="0" applyNumberFormat="1" applyFont="1" applyFill="1" applyBorder="1" applyAlignment="1" applyProtection="1">
      <alignment horizontal="center" vertical="center" wrapText="1"/>
      <protection hidden="1"/>
    </xf>
    <xf numFmtId="0" fontId="26" fillId="0" borderId="4" xfId="0" applyFont="1" applyFill="1" applyBorder="1" applyAlignment="1" applyProtection="1">
      <alignment horizontal="center" vertical="center" wrapText="1"/>
      <protection hidden="1"/>
    </xf>
    <xf numFmtId="177" fontId="26" fillId="2" borderId="30" xfId="0" applyNumberFormat="1" applyFont="1" applyFill="1" applyBorder="1" applyAlignment="1" applyProtection="1">
      <alignment horizontal="center" vertical="center" wrapText="1"/>
      <protection hidden="1"/>
    </xf>
    <xf numFmtId="0" fontId="0" fillId="0" borderId="39" xfId="0" applyBorder="1"/>
    <xf numFmtId="177" fontId="26" fillId="0" borderId="1" xfId="0" applyNumberFormat="1" applyFont="1" applyFill="1" applyBorder="1" applyAlignment="1" applyProtection="1">
      <alignment horizontal="center" vertical="center" wrapText="1"/>
      <protection hidden="1"/>
    </xf>
    <xf numFmtId="0" fontId="26" fillId="0" borderId="0" xfId="0" applyFont="1" applyBorder="1"/>
    <xf numFmtId="184" fontId="34" fillId="5" borderId="32" xfId="0" applyNumberFormat="1" applyFont="1" applyFill="1" applyBorder="1" applyAlignment="1" applyProtection="1">
      <alignment horizontal="center" vertical="center" wrapText="1"/>
    </xf>
    <xf numFmtId="0" fontId="8" fillId="0" borderId="9" xfId="0" applyFont="1" applyBorder="1" applyAlignment="1">
      <alignment horizontal="center" vertical="center" wrapText="1"/>
    </xf>
    <xf numFmtId="0" fontId="26" fillId="2" borderId="5" xfId="0" applyFont="1" applyFill="1" applyBorder="1" applyAlignment="1" applyProtection="1">
      <alignment horizontal="center" vertical="center" wrapText="1"/>
      <protection hidden="1"/>
    </xf>
    <xf numFmtId="0" fontId="0" fillId="0" borderId="40" xfId="0" applyBorder="1"/>
    <xf numFmtId="0" fontId="0" fillId="0" borderId="41" xfId="0" applyBorder="1"/>
    <xf numFmtId="177" fontId="26" fillId="0" borderId="9" xfId="0" applyNumberFormat="1" applyFont="1" applyFill="1" applyBorder="1" applyAlignment="1" applyProtection="1">
      <alignment vertical="center" wrapText="1"/>
      <protection hidden="1"/>
    </xf>
    <xf numFmtId="177" fontId="26" fillId="0" borderId="12" xfId="0" applyNumberFormat="1" applyFont="1" applyFill="1" applyBorder="1" applyAlignment="1" applyProtection="1">
      <alignment vertical="center" wrapText="1"/>
      <protection hidden="1"/>
    </xf>
    <xf numFmtId="183" fontId="16" fillId="2" borderId="20" xfId="0" applyNumberFormat="1" applyFont="1" applyFill="1" applyBorder="1" applyAlignment="1">
      <alignment horizontal="center" vertical="center" wrapText="1"/>
    </xf>
    <xf numFmtId="9" fontId="16" fillId="2" borderId="10" xfId="0" applyNumberFormat="1" applyFont="1" applyFill="1" applyBorder="1" applyAlignment="1">
      <alignment horizontal="center" vertical="center" wrapText="1"/>
    </xf>
    <xf numFmtId="0" fontId="8" fillId="0" borderId="0" xfId="0" applyFont="1" applyFill="1" applyBorder="1" applyAlignment="1">
      <alignment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6" fillId="0" borderId="7" xfId="0" applyFont="1" applyFill="1" applyBorder="1" applyAlignment="1">
      <alignment horizontal="center" vertical="center" wrapText="1"/>
    </xf>
    <xf numFmtId="0" fontId="16" fillId="0" borderId="7" xfId="0" applyFont="1" applyFill="1" applyBorder="1" applyAlignment="1">
      <alignment horizontal="center"/>
    </xf>
    <xf numFmtId="0" fontId="16" fillId="0" borderId="7" xfId="0" applyFont="1" applyFill="1" applyBorder="1" applyAlignment="1">
      <alignment horizontal="center" vertical="center"/>
    </xf>
    <xf numFmtId="0" fontId="16" fillId="0" borderId="7" xfId="0" applyFont="1" applyFill="1" applyBorder="1" applyAlignment="1">
      <alignment vertical="center"/>
    </xf>
    <xf numFmtId="0" fontId="42" fillId="4" borderId="0" xfId="0" applyFont="1" applyFill="1" applyBorder="1" applyAlignment="1">
      <alignment horizontal="center"/>
    </xf>
    <xf numFmtId="179" fontId="8" fillId="0" borderId="0" xfId="0" applyNumberFormat="1" applyFont="1" applyFill="1" applyBorder="1" applyAlignment="1" applyProtection="1">
      <alignment vertical="center" wrapText="1"/>
    </xf>
    <xf numFmtId="186" fontId="0" fillId="0" borderId="0" xfId="0" applyNumberFormat="1"/>
    <xf numFmtId="0" fontId="16" fillId="0" borderId="0" xfId="0" applyFont="1" applyAlignment="1">
      <alignment horizontal="center"/>
    </xf>
    <xf numFmtId="0" fontId="16" fillId="0" borderId="0" xfId="0" applyFont="1" applyFill="1" applyBorder="1" applyAlignment="1">
      <alignment horizontal="center"/>
    </xf>
    <xf numFmtId="179" fontId="0" fillId="0" borderId="18" xfId="0" applyNumberFormat="1" applyFill="1" applyBorder="1"/>
    <xf numFmtId="179" fontId="0" fillId="0" borderId="42" xfId="0" applyNumberFormat="1" applyFill="1" applyBorder="1" applyAlignment="1">
      <alignment horizontal="center"/>
    </xf>
    <xf numFmtId="0" fontId="0" fillId="0" borderId="43" xfId="0" applyBorder="1"/>
    <xf numFmtId="0" fontId="0" fillId="0" borderId="14" xfId="0" applyBorder="1" applyAlignment="1">
      <alignment horizontal="center"/>
    </xf>
    <xf numFmtId="0" fontId="0" fillId="0" borderId="14" xfId="0" applyFill="1" applyBorder="1" applyAlignment="1">
      <alignment horizontal="center"/>
    </xf>
    <xf numFmtId="0" fontId="0" fillId="5" borderId="19" xfId="0" applyFill="1" applyBorder="1" applyAlignment="1">
      <alignment horizontal="center"/>
    </xf>
    <xf numFmtId="0" fontId="0" fillId="0" borderId="0" xfId="0" applyBorder="1" applyAlignment="1">
      <alignment horizontal="center" wrapText="1"/>
    </xf>
    <xf numFmtId="0" fontId="0" fillId="0" borderId="0" xfId="0" applyFill="1" applyBorder="1" applyAlignment="1">
      <alignment horizontal="center" vertical="center"/>
    </xf>
    <xf numFmtId="0" fontId="0" fillId="0" borderId="2" xfId="0" applyBorder="1"/>
    <xf numFmtId="179" fontId="8" fillId="5" borderId="10" xfId="0" applyNumberFormat="1" applyFont="1" applyFill="1" applyBorder="1" applyAlignment="1">
      <alignment horizontal="center"/>
    </xf>
    <xf numFmtId="1" fontId="8" fillId="5" borderId="7" xfId="0" applyNumberFormat="1" applyFont="1" applyFill="1" applyBorder="1" applyAlignment="1">
      <alignment horizontal="center"/>
    </xf>
    <xf numFmtId="2" fontId="8" fillId="5" borderId="7" xfId="0" applyNumberFormat="1" applyFont="1" applyFill="1" applyBorder="1" applyAlignment="1">
      <alignment horizontal="center"/>
    </xf>
    <xf numFmtId="177" fontId="16" fillId="0" borderId="30" xfId="0" applyNumberFormat="1" applyFont="1" applyFill="1" applyBorder="1" applyAlignment="1" applyProtection="1">
      <alignment horizontal="center" vertical="center" wrapText="1"/>
      <protection hidden="1"/>
    </xf>
    <xf numFmtId="177" fontId="16" fillId="0" borderId="29" xfId="0" applyNumberFormat="1" applyFont="1" applyFill="1" applyBorder="1" applyAlignment="1" applyProtection="1">
      <alignment horizontal="center" vertical="center" wrapText="1"/>
      <protection hidden="1"/>
    </xf>
    <xf numFmtId="184" fontId="16" fillId="5" borderId="29" xfId="0" applyNumberFormat="1" applyFont="1" applyFill="1" applyBorder="1" applyAlignment="1">
      <alignment horizontal="center" vertical="center" wrapText="1"/>
    </xf>
    <xf numFmtId="184" fontId="16" fillId="5" borderId="32" xfId="0" applyNumberFormat="1" applyFont="1" applyFill="1" applyBorder="1" applyAlignment="1">
      <alignment horizontal="center" vertical="center" wrapText="1"/>
    </xf>
    <xf numFmtId="177" fontId="16" fillId="0" borderId="37" xfId="0" applyNumberFormat="1" applyFont="1" applyFill="1" applyBorder="1" applyAlignment="1" applyProtection="1">
      <alignment horizontal="center" vertical="center" wrapText="1"/>
      <protection hidden="1"/>
    </xf>
    <xf numFmtId="0" fontId="5" fillId="0" borderId="1" xfId="0" quotePrefix="1" applyFont="1" applyFill="1" applyBorder="1" applyAlignment="1">
      <alignment horizontal="right"/>
    </xf>
    <xf numFmtId="0" fontId="5" fillId="0" borderId="0" xfId="0" quotePrefix="1" applyFont="1" applyFill="1" applyBorder="1" applyAlignment="1">
      <alignment horizontal="right"/>
    </xf>
    <xf numFmtId="0" fontId="8" fillId="0" borderId="16" xfId="0" applyFont="1" applyBorder="1" applyAlignment="1">
      <alignment horizontal="center" wrapText="1"/>
    </xf>
    <xf numFmtId="0" fontId="16" fillId="2" borderId="35" xfId="0" applyFont="1" applyFill="1" applyBorder="1" applyAlignment="1" applyProtection="1">
      <alignment horizontal="center" vertical="center" wrapText="1"/>
      <protection hidden="1"/>
    </xf>
    <xf numFmtId="184" fontId="16" fillId="0" borderId="0" xfId="0" applyNumberFormat="1" applyFont="1" applyFill="1" applyBorder="1" applyAlignment="1">
      <alignment horizontal="center" vertical="center" wrapText="1"/>
    </xf>
    <xf numFmtId="0" fontId="16" fillId="2" borderId="19" xfId="0" applyNumberFormat="1" applyFont="1" applyFill="1" applyBorder="1" applyAlignment="1" applyProtection="1">
      <alignment horizontal="center" vertical="center" wrapText="1"/>
      <protection hidden="1"/>
    </xf>
    <xf numFmtId="0" fontId="0" fillId="0" borderId="0" xfId="0" applyNumberFormat="1" applyAlignment="1">
      <alignment horizontal="left"/>
    </xf>
    <xf numFmtId="0" fontId="8" fillId="10" borderId="8" xfId="4" quotePrefix="1" applyFont="1" applyFill="1" applyBorder="1" applyAlignment="1" applyProtection="1">
      <alignment horizontal="left" vertical="center" wrapText="1"/>
      <protection hidden="1"/>
    </xf>
    <xf numFmtId="192" fontId="26" fillId="2" borderId="10" xfId="0" applyNumberFormat="1" applyFont="1" applyFill="1" applyBorder="1" applyAlignment="1">
      <alignment horizontal="center" vertical="center" wrapText="1"/>
    </xf>
    <xf numFmtId="0" fontId="16" fillId="2" borderId="20" xfId="0" applyFont="1" applyFill="1" applyBorder="1" applyAlignment="1">
      <alignment horizontal="center" vertical="center" wrapText="1"/>
    </xf>
    <xf numFmtId="0" fontId="27" fillId="6" borderId="33" xfId="0" applyFont="1" applyFill="1" applyBorder="1" applyAlignment="1">
      <alignment horizontal="left"/>
    </xf>
    <xf numFmtId="0" fontId="27" fillId="6" borderId="43" xfId="0" applyFont="1" applyFill="1" applyBorder="1" applyAlignment="1">
      <alignment horizontal="left"/>
    </xf>
    <xf numFmtId="179" fontId="12" fillId="0" borderId="21" xfId="0" applyNumberFormat="1" applyFont="1" applyFill="1" applyBorder="1" applyAlignment="1"/>
    <xf numFmtId="179" fontId="12" fillId="0" borderId="18" xfId="0" applyNumberFormat="1" applyFont="1" applyFill="1" applyBorder="1" applyAlignment="1"/>
    <xf numFmtId="179" fontId="12" fillId="0" borderId="42" xfId="0" applyNumberFormat="1" applyFont="1" applyFill="1" applyBorder="1" applyAlignment="1"/>
    <xf numFmtId="179" fontId="12" fillId="0" borderId="22" xfId="0" applyNumberFormat="1" applyFont="1" applyFill="1" applyBorder="1" applyAlignment="1"/>
    <xf numFmtId="179" fontId="12" fillId="0" borderId="0" xfId="0" applyNumberFormat="1" applyFont="1" applyFill="1" applyBorder="1" applyAlignment="1"/>
    <xf numFmtId="179" fontId="12" fillId="0" borderId="9" xfId="0" applyNumberFormat="1" applyFont="1" applyFill="1" applyBorder="1" applyAlignment="1"/>
    <xf numFmtId="179" fontId="12" fillId="0" borderId="44" xfId="0" applyNumberFormat="1" applyFont="1" applyFill="1" applyBorder="1" applyAlignment="1"/>
    <xf numFmtId="179" fontId="12" fillId="0" borderId="3" xfId="0" applyNumberFormat="1" applyFont="1" applyFill="1" applyBorder="1" applyAlignment="1"/>
    <xf numFmtId="179" fontId="12" fillId="0" borderId="12" xfId="0" applyNumberFormat="1" applyFont="1" applyFill="1" applyBorder="1" applyAlignment="1"/>
    <xf numFmtId="0" fontId="0" fillId="6" borderId="13" xfId="0" applyFill="1" applyBorder="1" applyAlignment="1">
      <alignment horizontal="center" vertical="center"/>
    </xf>
    <xf numFmtId="0" fontId="0" fillId="21" borderId="13" xfId="0" applyFill="1" applyBorder="1" applyAlignment="1">
      <alignment horizontal="center" vertical="center"/>
    </xf>
    <xf numFmtId="184" fontId="0" fillId="5" borderId="7" xfId="0" applyNumberFormat="1" applyFill="1" applyBorder="1" applyAlignment="1">
      <alignment horizontal="center"/>
    </xf>
    <xf numFmtId="184" fontId="0" fillId="0" borderId="7" xfId="0" applyNumberFormat="1" applyBorder="1" applyAlignment="1">
      <alignment horizontal="center"/>
    </xf>
    <xf numFmtId="185" fontId="0" fillId="6" borderId="14" xfId="0" applyNumberFormat="1" applyFill="1" applyBorder="1" applyAlignment="1">
      <alignment horizontal="center"/>
    </xf>
    <xf numFmtId="190" fontId="16" fillId="0" borderId="0" xfId="0" applyNumberFormat="1" applyFont="1" applyFill="1" applyBorder="1"/>
    <xf numFmtId="184" fontId="22" fillId="5" borderId="7" xfId="0" applyNumberFormat="1" applyFont="1" applyFill="1" applyBorder="1" applyAlignment="1">
      <alignment horizontal="center"/>
    </xf>
    <xf numFmtId="0" fontId="32" fillId="0" borderId="0" xfId="0" applyFont="1" applyFill="1" applyBorder="1" applyAlignment="1">
      <alignment horizontal="right" vertical="center"/>
    </xf>
    <xf numFmtId="0" fontId="16" fillId="2" borderId="30" xfId="0" applyNumberFormat="1" applyFont="1" applyFill="1" applyBorder="1" applyAlignment="1" applyProtection="1">
      <alignment horizontal="center" vertical="center" wrapText="1"/>
      <protection hidden="1"/>
    </xf>
    <xf numFmtId="0" fontId="0" fillId="0" borderId="11" xfId="0" applyBorder="1" applyAlignment="1">
      <alignment horizontal="center"/>
    </xf>
    <xf numFmtId="0" fontId="54" fillId="0" borderId="0" xfId="0" applyFont="1"/>
    <xf numFmtId="0" fontId="0" fillId="22" borderId="0" xfId="0" applyFill="1" applyAlignment="1">
      <alignment horizontal="center"/>
    </xf>
    <xf numFmtId="0" fontId="55" fillId="23" borderId="25" xfId="0" applyFont="1" applyFill="1" applyBorder="1" applyAlignment="1">
      <alignment horizontal="center"/>
    </xf>
    <xf numFmtId="0" fontId="0" fillId="0" borderId="45" xfId="0" applyBorder="1" applyAlignment="1">
      <alignment horizontal="center"/>
    </xf>
    <xf numFmtId="0" fontId="52" fillId="24" borderId="16" xfId="0" applyFont="1" applyFill="1" applyBorder="1" applyAlignment="1">
      <alignment horizontal="center" vertical="center" wrapText="1"/>
    </xf>
    <xf numFmtId="0" fontId="52" fillId="24" borderId="16" xfId="0" applyFont="1" applyFill="1" applyBorder="1" applyAlignment="1">
      <alignment horizontal="center" wrapText="1"/>
    </xf>
    <xf numFmtId="0" fontId="52" fillId="24" borderId="16" xfId="0" applyFont="1" applyFill="1" applyBorder="1" applyAlignment="1">
      <alignment horizontal="center"/>
    </xf>
    <xf numFmtId="0" fontId="52" fillId="24" borderId="17" xfId="0" applyFont="1" applyFill="1" applyBorder="1" applyAlignment="1">
      <alignment horizontal="center" wrapText="1"/>
    </xf>
    <xf numFmtId="0" fontId="52" fillId="24" borderId="32" xfId="0" applyFont="1" applyFill="1" applyBorder="1" applyAlignment="1">
      <alignment horizontal="center"/>
    </xf>
    <xf numFmtId="0" fontId="0" fillId="22" borderId="11" xfId="0" applyFill="1" applyBorder="1" applyAlignment="1">
      <alignment horizontal="center"/>
    </xf>
    <xf numFmtId="193" fontId="0" fillId="0" borderId="11" xfId="0" applyNumberFormat="1" applyFill="1" applyBorder="1" applyAlignment="1">
      <alignment horizontal="center"/>
    </xf>
    <xf numFmtId="1" fontId="0" fillId="0" borderId="11" xfId="0" applyNumberFormat="1" applyBorder="1" applyAlignment="1">
      <alignment horizontal="center"/>
    </xf>
    <xf numFmtId="1" fontId="0" fillId="0" borderId="13" xfId="0" applyNumberFormat="1" applyBorder="1" applyAlignment="1">
      <alignment horizontal="center"/>
    </xf>
    <xf numFmtId="0" fontId="52" fillId="0" borderId="0" xfId="0" applyFont="1" applyAlignment="1">
      <alignment horizontal="center"/>
    </xf>
    <xf numFmtId="0" fontId="52" fillId="24" borderId="30" xfId="0" applyFont="1" applyFill="1" applyBorder="1" applyAlignment="1">
      <alignment horizontal="center" wrapText="1"/>
    </xf>
    <xf numFmtId="0" fontId="52" fillId="24" borderId="10" xfId="0" applyFont="1" applyFill="1" applyBorder="1" applyAlignment="1">
      <alignment horizontal="center" wrapText="1"/>
    </xf>
    <xf numFmtId="0" fontId="52" fillId="24" borderId="31" xfId="0" applyFont="1" applyFill="1" applyBorder="1" applyAlignment="1">
      <alignment horizontal="center" wrapText="1"/>
    </xf>
    <xf numFmtId="0" fontId="52" fillId="0" borderId="11" xfId="0" applyFont="1" applyBorder="1" applyAlignment="1">
      <alignment horizontal="center"/>
    </xf>
    <xf numFmtId="0" fontId="52" fillId="0" borderId="13" xfId="0" applyFont="1" applyBorder="1" applyAlignment="1">
      <alignment horizontal="center"/>
    </xf>
    <xf numFmtId="0" fontId="52" fillId="0" borderId="0" xfId="0" applyFont="1" applyFill="1" applyBorder="1" applyAlignment="1">
      <alignment horizontal="center"/>
    </xf>
    <xf numFmtId="0" fontId="56" fillId="0" borderId="0" xfId="0" applyFont="1" applyFill="1" applyBorder="1" applyAlignment="1">
      <alignment horizontal="center"/>
    </xf>
    <xf numFmtId="0" fontId="52" fillId="0" borderId="0" xfId="0" applyFont="1" applyFill="1" applyBorder="1" applyAlignment="1">
      <alignment horizontal="center" vertical="center" wrapText="1"/>
    </xf>
    <xf numFmtId="0" fontId="52" fillId="0" borderId="45" xfId="0" applyFont="1" applyBorder="1" applyAlignment="1">
      <alignment horizontal="center"/>
    </xf>
    <xf numFmtId="0" fontId="52" fillId="24" borderId="46" xfId="0" applyFont="1" applyFill="1" applyBorder="1" applyAlignment="1">
      <alignment horizontal="center"/>
    </xf>
    <xf numFmtId="194" fontId="0" fillId="0" borderId="0" xfId="0" applyNumberFormat="1" applyFill="1" applyBorder="1" applyAlignment="1">
      <alignment horizontal="center"/>
    </xf>
    <xf numFmtId="0" fontId="55" fillId="23" borderId="28" xfId="0" applyFont="1" applyFill="1" applyBorder="1" applyAlignment="1">
      <alignment horizontal="center"/>
    </xf>
    <xf numFmtId="0" fontId="53" fillId="25" borderId="7" xfId="0" applyFont="1" applyFill="1" applyBorder="1" applyAlignment="1">
      <alignment horizontal="center"/>
    </xf>
    <xf numFmtId="9" fontId="0" fillId="0" borderId="0" xfId="6" applyFont="1"/>
    <xf numFmtId="0" fontId="0" fillId="0" borderId="0" xfId="0" applyAlignment="1">
      <alignment vertical="center" wrapText="1"/>
    </xf>
    <xf numFmtId="0" fontId="52" fillId="24" borderId="47" xfId="0" applyFont="1" applyFill="1" applyBorder="1" applyAlignment="1">
      <alignment horizontal="center" vertical="center" wrapText="1"/>
    </xf>
    <xf numFmtId="0" fontId="52" fillId="24" borderId="48" xfId="0" applyFont="1" applyFill="1" applyBorder="1" applyAlignment="1">
      <alignment horizontal="center" vertical="center" wrapText="1"/>
    </xf>
    <xf numFmtId="0" fontId="57" fillId="24" borderId="47" xfId="0" applyFont="1" applyFill="1" applyBorder="1" applyAlignment="1">
      <alignment horizontal="center" vertical="center" wrapText="1"/>
    </xf>
    <xf numFmtId="0" fontId="58" fillId="24" borderId="47" xfId="0" applyFont="1" applyFill="1" applyBorder="1" applyAlignment="1">
      <alignment horizontal="center" vertical="center" wrapText="1"/>
    </xf>
    <xf numFmtId="0" fontId="57" fillId="24" borderId="34" xfId="0" applyFont="1" applyFill="1" applyBorder="1" applyAlignment="1">
      <alignment horizontal="center" vertical="center" wrapText="1"/>
    </xf>
    <xf numFmtId="0" fontId="52" fillId="24" borderId="34" xfId="0" applyFont="1" applyFill="1" applyBorder="1" applyAlignment="1">
      <alignment horizontal="center" vertical="center" wrapText="1"/>
    </xf>
    <xf numFmtId="0" fontId="52" fillId="24" borderId="49" xfId="0" applyFont="1" applyFill="1" applyBorder="1" applyAlignment="1">
      <alignment horizontal="center" vertical="center" wrapText="1"/>
    </xf>
    <xf numFmtId="0" fontId="16" fillId="0" borderId="0" xfId="4" applyBorder="1" applyAlignment="1">
      <alignment horizontal="center" wrapText="1"/>
    </xf>
    <xf numFmtId="180" fontId="16" fillId="0" borderId="0" xfId="7" quotePrefix="1" applyNumberFormat="1" applyFont="1" applyBorder="1" applyAlignment="1">
      <alignment horizontal="center" wrapText="1"/>
    </xf>
    <xf numFmtId="193" fontId="0" fillId="0" borderId="10" xfId="0" applyNumberFormat="1" applyFill="1" applyBorder="1" applyAlignment="1">
      <alignment horizontal="center"/>
    </xf>
    <xf numFmtId="178" fontId="0" fillId="19" borderId="10" xfId="0" applyNumberFormat="1" applyFill="1" applyBorder="1" applyAlignment="1">
      <alignment horizontal="center"/>
    </xf>
    <xf numFmtId="180" fontId="43" fillId="19" borderId="10" xfId="6" applyNumberFormat="1" applyFont="1" applyFill="1" applyBorder="1" applyAlignment="1">
      <alignment horizontal="center" vertical="center" wrapText="1"/>
    </xf>
    <xf numFmtId="9" fontId="16" fillId="0" borderId="0" xfId="4" applyNumberFormat="1" applyBorder="1" applyAlignment="1">
      <alignment horizontal="center" wrapText="1"/>
    </xf>
    <xf numFmtId="180" fontId="0" fillId="0" borderId="0" xfId="7" applyNumberFormat="1" applyFont="1" applyBorder="1" applyAlignment="1">
      <alignment horizontal="center" wrapText="1"/>
    </xf>
    <xf numFmtId="49" fontId="16" fillId="0" borderId="0" xfId="0" applyNumberFormat="1" applyFont="1" applyAlignment="1">
      <alignment horizontal="center" vertical="center"/>
    </xf>
    <xf numFmtId="193" fontId="0" fillId="0" borderId="7" xfId="0" applyNumberFormat="1" applyFill="1" applyBorder="1" applyAlignment="1">
      <alignment horizontal="center"/>
    </xf>
    <xf numFmtId="180" fontId="16" fillId="0" borderId="0" xfId="7" applyNumberFormat="1" applyFont="1" applyBorder="1" applyAlignment="1">
      <alignment horizontal="center" wrapText="1"/>
    </xf>
    <xf numFmtId="0" fontId="56" fillId="0" borderId="0" xfId="0" applyFont="1"/>
    <xf numFmtId="180" fontId="0" fillId="0" borderId="50" xfId="7" applyNumberFormat="1" applyFont="1" applyBorder="1" applyAlignment="1">
      <alignment horizontal="center" wrapText="1"/>
    </xf>
    <xf numFmtId="0" fontId="52" fillId="0" borderId="32" xfId="0" applyFont="1" applyBorder="1" applyAlignment="1">
      <alignment horizontal="center" wrapText="1"/>
    </xf>
    <xf numFmtId="0" fontId="8" fillId="0" borderId="7" xfId="0" applyFont="1" applyBorder="1" applyAlignment="1">
      <alignment horizontal="center" wrapText="1"/>
    </xf>
    <xf numFmtId="0" fontId="8" fillId="0" borderId="10" xfId="0" applyFont="1" applyBorder="1" applyAlignment="1">
      <alignment horizontal="center" wrapText="1"/>
    </xf>
    <xf numFmtId="0" fontId="12" fillId="0" borderId="3" xfId="0" applyFont="1" applyFill="1" applyBorder="1" applyAlignment="1"/>
    <xf numFmtId="0" fontId="12" fillId="0" borderId="44" xfId="0" applyFont="1" applyFill="1" applyBorder="1" applyAlignment="1"/>
    <xf numFmtId="0" fontId="12" fillId="0" borderId="12" xfId="0" applyFont="1" applyFill="1" applyBorder="1" applyAlignment="1"/>
    <xf numFmtId="0" fontId="53" fillId="25" borderId="20" xfId="0" applyFont="1" applyFill="1" applyBorder="1" applyAlignment="1">
      <alignment horizontal="center" wrapText="1"/>
    </xf>
    <xf numFmtId="0" fontId="15" fillId="5" borderId="33" xfId="0" applyFont="1" applyFill="1" applyBorder="1" applyAlignment="1">
      <alignment vertical="center"/>
    </xf>
    <xf numFmtId="0" fontId="6" fillId="0" borderId="7" xfId="0" applyFont="1" applyFill="1" applyBorder="1" applyAlignment="1">
      <alignment horizontal="center" vertical="center"/>
    </xf>
    <xf numFmtId="0" fontId="0" fillId="0" borderId="0" xfId="0" applyAlignment="1">
      <alignment vertical="center"/>
    </xf>
    <xf numFmtId="0" fontId="52" fillId="24" borderId="35" xfId="0" applyFont="1" applyFill="1" applyBorder="1" applyAlignment="1">
      <alignment horizontal="center" vertical="center" wrapText="1"/>
    </xf>
    <xf numFmtId="0" fontId="0" fillId="22" borderId="21" xfId="0" applyFill="1" applyBorder="1" applyAlignment="1">
      <alignment horizontal="center"/>
    </xf>
    <xf numFmtId="194" fontId="52" fillId="0" borderId="37" xfId="0" applyNumberFormat="1" applyFont="1" applyBorder="1" applyAlignment="1">
      <alignment horizontal="center"/>
    </xf>
    <xf numFmtId="0" fontId="0" fillId="0" borderId="51" xfId="0" applyBorder="1"/>
    <xf numFmtId="1" fontId="16" fillId="0" borderId="0" xfId="4" applyNumberFormat="1" applyBorder="1" applyAlignment="1">
      <alignment horizontal="center" wrapText="1"/>
    </xf>
    <xf numFmtId="1" fontId="0" fillId="0" borderId="0" xfId="0" applyNumberFormat="1" applyBorder="1" applyAlignment="1">
      <alignment horizontal="center"/>
    </xf>
    <xf numFmtId="0" fontId="52" fillId="0" borderId="0" xfId="0" applyFont="1" applyBorder="1" applyAlignment="1">
      <alignment horizontal="center"/>
    </xf>
    <xf numFmtId="0" fontId="16" fillId="0" borderId="0" xfId="0" quotePrefix="1" applyFont="1"/>
    <xf numFmtId="2" fontId="0" fillId="0" borderId="0" xfId="7" applyNumberFormat="1" applyFont="1" applyBorder="1" applyAlignment="1">
      <alignment horizontal="center" wrapText="1"/>
    </xf>
    <xf numFmtId="2" fontId="16" fillId="0" borderId="0" xfId="7" applyNumberFormat="1" applyFont="1" applyBorder="1" applyAlignment="1">
      <alignment horizontal="center" wrapText="1"/>
    </xf>
    <xf numFmtId="178" fontId="48" fillId="0" borderId="0" xfId="7" applyNumberFormat="1" applyFont="1" applyAlignment="1">
      <alignment horizontal="center" wrapText="1"/>
    </xf>
    <xf numFmtId="0" fontId="52" fillId="0" borderId="7" xfId="0" applyFont="1" applyBorder="1" applyAlignment="1">
      <alignment horizontal="center"/>
    </xf>
    <xf numFmtId="0" fontId="52" fillId="0" borderId="10" xfId="0" applyFont="1" applyBorder="1"/>
    <xf numFmtId="186" fontId="52" fillId="0" borderId="10" xfId="0" applyNumberFormat="1" applyFont="1" applyBorder="1"/>
    <xf numFmtId="0" fontId="52" fillId="0" borderId="10" xfId="0" applyFont="1" applyBorder="1" applyAlignment="1">
      <alignment horizontal="right"/>
    </xf>
    <xf numFmtId="0" fontId="52" fillId="0" borderId="7" xfId="0" applyFont="1" applyBorder="1"/>
    <xf numFmtId="0" fontId="52" fillId="0" borderId="7" xfId="0" applyFont="1" applyBorder="1" applyAlignment="1">
      <alignment horizontal="right"/>
    </xf>
    <xf numFmtId="185" fontId="52" fillId="0" borderId="10" xfId="0" applyNumberFormat="1" applyFont="1" applyBorder="1"/>
    <xf numFmtId="0" fontId="52" fillId="0" borderId="0" xfId="0" applyFont="1" applyFill="1" applyBorder="1" applyAlignment="1">
      <alignment horizontal="center" wrapText="1"/>
    </xf>
    <xf numFmtId="0" fontId="16" fillId="0" borderId="0" xfId="0" quotePrefix="1" applyFont="1" applyAlignment="1">
      <alignment horizontal="center" wrapText="1"/>
    </xf>
    <xf numFmtId="2" fontId="48" fillId="0" borderId="0" xfId="7" applyNumberFormat="1" applyFont="1" applyAlignment="1">
      <alignment horizontal="center" wrapText="1"/>
    </xf>
    <xf numFmtId="0" fontId="8" fillId="5" borderId="7" xfId="0" applyNumberFormat="1" applyFont="1" applyFill="1" applyBorder="1" applyAlignment="1">
      <alignment horizontal="center"/>
    </xf>
    <xf numFmtId="184" fontId="16" fillId="0" borderId="0" xfId="0" applyNumberFormat="1" applyFont="1" applyFill="1" applyBorder="1" applyAlignment="1">
      <alignment vertical="center" wrapText="1"/>
    </xf>
    <xf numFmtId="0" fontId="0" fillId="0" borderId="4" xfId="0" applyBorder="1" applyAlignment="1">
      <alignment horizontal="center"/>
    </xf>
    <xf numFmtId="0" fontId="0" fillId="0" borderId="18" xfId="0" applyBorder="1"/>
    <xf numFmtId="9" fontId="7" fillId="12" borderId="52" xfId="0" applyNumberFormat="1" applyFont="1" applyFill="1" applyBorder="1" applyAlignment="1">
      <alignment horizontal="center"/>
    </xf>
    <xf numFmtId="0" fontId="15" fillId="5" borderId="33" xfId="0" applyFont="1" applyFill="1" applyBorder="1" applyAlignment="1">
      <alignment horizontal="right" vertical="center"/>
    </xf>
    <xf numFmtId="0" fontId="0" fillId="0" borderId="6" xfId="0" applyBorder="1"/>
    <xf numFmtId="0" fontId="16" fillId="0" borderId="29" xfId="0" applyFont="1" applyFill="1" applyBorder="1" applyAlignment="1">
      <alignment horizontal="center" vertical="center" wrapText="1"/>
    </xf>
    <xf numFmtId="0" fontId="16" fillId="0" borderId="29" xfId="0" applyFont="1" applyFill="1" applyBorder="1" applyAlignment="1">
      <alignment horizontal="center"/>
    </xf>
    <xf numFmtId="0" fontId="16" fillId="0" borderId="29" xfId="0" applyFont="1" applyFill="1" applyBorder="1" applyAlignment="1">
      <alignment vertical="center"/>
    </xf>
    <xf numFmtId="0" fontId="27" fillId="5" borderId="14" xfId="0" applyFont="1" applyFill="1" applyBorder="1" applyAlignment="1">
      <alignment horizontal="center"/>
    </xf>
    <xf numFmtId="0" fontId="8" fillId="0" borderId="1" xfId="0" applyFont="1" applyFill="1" applyBorder="1" applyAlignment="1">
      <alignment vertical="center"/>
    </xf>
    <xf numFmtId="0" fontId="27" fillId="5" borderId="13" xfId="0" applyFont="1" applyFill="1" applyBorder="1" applyAlignment="1">
      <alignment horizontal="center"/>
    </xf>
    <xf numFmtId="0" fontId="27" fillId="26" borderId="14" xfId="3" applyFont="1" applyFill="1" applyBorder="1" applyAlignment="1">
      <alignment horizontal="center"/>
    </xf>
    <xf numFmtId="0" fontId="0" fillId="3" borderId="20" xfId="0" applyFill="1" applyBorder="1" applyAlignment="1">
      <alignment horizontal="center"/>
    </xf>
    <xf numFmtId="0" fontId="6" fillId="2" borderId="35" xfId="0" applyFont="1" applyFill="1" applyBorder="1" applyAlignment="1">
      <alignment horizontal="center"/>
    </xf>
    <xf numFmtId="0" fontId="6" fillId="2" borderId="40" xfId="0" applyFont="1" applyFill="1" applyBorder="1" applyAlignment="1">
      <alignment horizontal="center"/>
    </xf>
    <xf numFmtId="0" fontId="6" fillId="2" borderId="53" xfId="0" applyFont="1" applyFill="1" applyBorder="1" applyAlignment="1">
      <alignment horizontal="center"/>
    </xf>
    <xf numFmtId="0" fontId="5" fillId="0" borderId="5" xfId="0" applyFont="1" applyFill="1" applyBorder="1" applyAlignment="1">
      <alignment horizontal="right"/>
    </xf>
    <xf numFmtId="0" fontId="5" fillId="0" borderId="4" xfId="0" applyFont="1" applyFill="1" applyBorder="1" applyAlignment="1">
      <alignment horizontal="right"/>
    </xf>
    <xf numFmtId="0" fontId="0" fillId="6" borderId="8" xfId="0" applyFill="1" applyBorder="1" applyAlignment="1">
      <alignment horizontal="center" vertical="center"/>
    </xf>
    <xf numFmtId="0" fontId="0" fillId="21" borderId="8" xfId="0" applyFill="1" applyBorder="1" applyAlignment="1">
      <alignment horizontal="center" vertical="center"/>
    </xf>
    <xf numFmtId="0" fontId="0" fillId="0" borderId="0" xfId="0" applyAlignment="1">
      <alignment horizontal="center" wrapText="1"/>
    </xf>
    <xf numFmtId="0" fontId="0" fillId="0" borderId="0" xfId="0" applyAlignment="1">
      <alignment wrapText="1"/>
    </xf>
    <xf numFmtId="1" fontId="0" fillId="0" borderId="11" xfId="0" applyNumberFormat="1" applyBorder="1" applyAlignment="1">
      <alignment horizontal="center" wrapText="1"/>
    </xf>
    <xf numFmtId="0" fontId="52" fillId="0" borderId="11" xfId="0" applyFont="1" applyBorder="1" applyAlignment="1">
      <alignment horizontal="center" wrapText="1"/>
    </xf>
    <xf numFmtId="186" fontId="60" fillId="25" borderId="20" xfId="0" applyNumberFormat="1" applyFont="1" applyFill="1" applyBorder="1" applyAlignment="1">
      <alignment horizontal="center" wrapText="1"/>
    </xf>
    <xf numFmtId="0" fontId="53" fillId="25" borderId="7" xfId="0" applyFont="1" applyFill="1" applyBorder="1" applyAlignment="1">
      <alignment horizontal="center" wrapText="1"/>
    </xf>
    <xf numFmtId="178" fontId="0" fillId="0" borderId="10" xfId="0" applyNumberFormat="1" applyFill="1" applyBorder="1" applyAlignment="1">
      <alignment horizontal="center" wrapText="1"/>
    </xf>
    <xf numFmtId="0" fontId="16" fillId="0" borderId="55" xfId="0" applyFont="1" applyBorder="1" applyAlignment="1">
      <alignment wrapText="1"/>
    </xf>
    <xf numFmtId="0" fontId="15" fillId="5" borderId="7" xfId="0" applyFont="1" applyFill="1" applyBorder="1" applyAlignment="1">
      <alignment horizontal="right" vertical="center"/>
    </xf>
    <xf numFmtId="2" fontId="16" fillId="0" borderId="0" xfId="4" applyNumberFormat="1" applyBorder="1" applyAlignment="1">
      <alignment horizontal="center" wrapText="1"/>
    </xf>
    <xf numFmtId="186" fontId="16" fillId="2" borderId="10" xfId="0" applyNumberFormat="1" applyFont="1" applyFill="1" applyBorder="1" applyAlignment="1">
      <alignment horizontal="center" vertical="center" wrapText="1"/>
    </xf>
    <xf numFmtId="187" fontId="0" fillId="6" borderId="8" xfId="0" applyNumberFormat="1" applyFill="1" applyBorder="1" applyAlignment="1">
      <alignment horizontal="center"/>
    </xf>
    <xf numFmtId="187" fontId="0" fillId="0" borderId="0" xfId="0" applyNumberFormat="1"/>
    <xf numFmtId="187" fontId="0" fillId="7" borderId="14" xfId="0" applyNumberFormat="1" applyFill="1" applyBorder="1" applyAlignment="1">
      <alignment horizontal="center"/>
    </xf>
    <xf numFmtId="0" fontId="0" fillId="0" borderId="7" xfId="0" applyBorder="1" applyAlignment="1">
      <alignment horizontal="left"/>
    </xf>
    <xf numFmtId="47" fontId="0" fillId="0" borderId="0" xfId="0" applyNumberFormat="1" applyAlignment="1">
      <alignment horizontal="left"/>
    </xf>
    <xf numFmtId="0" fontId="0" fillId="0" borderId="0" xfId="0" applyAlignment="1">
      <alignment horizontal="right"/>
    </xf>
    <xf numFmtId="47" fontId="0" fillId="0" borderId="0" xfId="0" applyNumberFormat="1" applyAlignment="1">
      <alignment horizontal="center"/>
    </xf>
    <xf numFmtId="10" fontId="0" fillId="0" borderId="0" xfId="0" applyNumberFormat="1" applyAlignment="1">
      <alignment horizontal="center"/>
    </xf>
    <xf numFmtId="0" fontId="16" fillId="0" borderId="0" xfId="0" applyFont="1" applyAlignment="1">
      <alignment horizontal="right"/>
    </xf>
    <xf numFmtId="47" fontId="0" fillId="0" borderId="0" xfId="0" applyNumberFormat="1"/>
    <xf numFmtId="195" fontId="0" fillId="0" borderId="0" xfId="0" applyNumberFormat="1" applyAlignment="1">
      <alignment horizontal="center"/>
    </xf>
    <xf numFmtId="195" fontId="0" fillId="0" borderId="0" xfId="0" applyNumberFormat="1" applyBorder="1" applyAlignment="1">
      <alignment horizontal="center"/>
    </xf>
    <xf numFmtId="0" fontId="0" fillId="0" borderId="0" xfId="0" applyNumberFormat="1" applyAlignment="1">
      <alignment horizontal="center"/>
    </xf>
    <xf numFmtId="0" fontId="0" fillId="0" borderId="0" xfId="0" applyNumberFormat="1" applyBorder="1" applyAlignment="1">
      <alignment horizontal="center"/>
    </xf>
    <xf numFmtId="186" fontId="0" fillId="0" borderId="0" xfId="0" applyNumberFormat="1" applyAlignment="1">
      <alignment horizontal="center"/>
    </xf>
    <xf numFmtId="176" fontId="0" fillId="0" borderId="0" xfId="0" applyNumberFormat="1" applyAlignment="1">
      <alignment horizontal="center"/>
    </xf>
    <xf numFmtId="9" fontId="16" fillId="22" borderId="10" xfId="0" applyNumberFormat="1" applyFont="1" applyFill="1" applyBorder="1" applyAlignment="1">
      <alignment horizontal="center" vertical="center" wrapText="1"/>
    </xf>
    <xf numFmtId="0" fontId="50" fillId="22" borderId="75" xfId="2" applyFill="1" applyAlignment="1">
      <alignment horizontal="center" vertical="center"/>
    </xf>
    <xf numFmtId="0" fontId="16" fillId="0" borderId="0" xfId="0" applyFont="1" applyBorder="1"/>
    <xf numFmtId="0" fontId="16" fillId="0" borderId="23" xfId="0" applyFont="1" applyBorder="1"/>
    <xf numFmtId="0" fontId="16" fillId="2" borderId="40" xfId="0" applyFont="1" applyFill="1" applyBorder="1" applyAlignment="1" applyProtection="1">
      <alignment horizontal="center" vertical="center" wrapText="1"/>
      <protection hidden="1"/>
    </xf>
    <xf numFmtId="177" fontId="26" fillId="2" borderId="10" xfId="0" applyNumberFormat="1" applyFont="1" applyFill="1" applyBorder="1" applyAlignment="1" applyProtection="1">
      <alignment horizontal="center" vertical="center" wrapText="1"/>
      <protection hidden="1"/>
    </xf>
    <xf numFmtId="177" fontId="16" fillId="2" borderId="20" xfId="0" applyNumberFormat="1" applyFont="1" applyFill="1" applyBorder="1" applyAlignment="1" applyProtection="1">
      <alignment horizontal="center" vertical="center" wrapText="1"/>
      <protection hidden="1"/>
    </xf>
    <xf numFmtId="0" fontId="16" fillId="2" borderId="39" xfId="0" applyNumberFormat="1" applyFont="1" applyFill="1" applyBorder="1" applyAlignment="1" applyProtection="1">
      <alignment horizontal="center" vertical="center" wrapText="1"/>
      <protection hidden="1"/>
    </xf>
    <xf numFmtId="0" fontId="16" fillId="2" borderId="10" xfId="0" applyNumberFormat="1" applyFont="1" applyFill="1" applyBorder="1" applyAlignment="1" applyProtection="1">
      <alignment horizontal="center" vertical="center" wrapText="1"/>
      <protection hidden="1"/>
    </xf>
    <xf numFmtId="177" fontId="16" fillId="2" borderId="56" xfId="0" applyNumberFormat="1" applyFont="1" applyFill="1" applyBorder="1" applyAlignment="1" applyProtection="1">
      <alignment horizontal="center" vertical="center" wrapText="1"/>
      <protection hidden="1"/>
    </xf>
    <xf numFmtId="177" fontId="16" fillId="2" borderId="10" xfId="0" applyNumberFormat="1" applyFont="1" applyFill="1" applyBorder="1" applyAlignment="1" applyProtection="1">
      <alignment horizontal="center" vertical="center" wrapText="1"/>
      <protection hidden="1"/>
    </xf>
    <xf numFmtId="187" fontId="16" fillId="5" borderId="59" xfId="0" applyNumberFormat="1" applyFont="1" applyFill="1" applyBorder="1"/>
    <xf numFmtId="0" fontId="16" fillId="2" borderId="60" xfId="0" applyFont="1" applyFill="1" applyBorder="1" applyAlignment="1" applyProtection="1">
      <alignment horizontal="center" vertical="center" wrapText="1"/>
      <protection hidden="1"/>
    </xf>
    <xf numFmtId="177" fontId="26" fillId="2" borderId="57" xfId="0" applyNumberFormat="1" applyFont="1" applyFill="1" applyBorder="1" applyAlignment="1" applyProtection="1">
      <alignment horizontal="center" vertical="center" wrapText="1"/>
      <protection hidden="1"/>
    </xf>
    <xf numFmtId="177" fontId="16" fillId="2" borderId="21" xfId="0" applyNumberFormat="1" applyFont="1" applyFill="1" applyBorder="1" applyAlignment="1" applyProtection="1">
      <alignment horizontal="center" vertical="center" wrapText="1"/>
      <protection hidden="1"/>
    </xf>
    <xf numFmtId="177" fontId="16" fillId="2" borderId="54" xfId="0" applyNumberFormat="1" applyFont="1" applyFill="1" applyBorder="1" applyAlignment="1" applyProtection="1">
      <alignment horizontal="center" vertical="center" wrapText="1"/>
      <protection hidden="1"/>
    </xf>
    <xf numFmtId="0" fontId="0" fillId="0" borderId="10" xfId="0" applyBorder="1"/>
    <xf numFmtId="0" fontId="26" fillId="0" borderId="53" xfId="0" applyFont="1" applyFill="1" applyBorder="1" applyAlignment="1" applyProtection="1">
      <alignment horizontal="center" vertical="center" wrapText="1"/>
      <protection hidden="1"/>
    </xf>
    <xf numFmtId="177" fontId="26" fillId="0" borderId="31" xfId="0" applyNumberFormat="1" applyFont="1" applyFill="1" applyBorder="1" applyAlignment="1" applyProtection="1">
      <alignment horizontal="center" vertical="center" wrapText="1"/>
      <protection hidden="1"/>
    </xf>
    <xf numFmtId="177" fontId="16" fillId="2" borderId="42" xfId="0" applyNumberFormat="1" applyFont="1" applyFill="1" applyBorder="1" applyAlignment="1" applyProtection="1">
      <alignment horizontal="center" vertical="center" wrapText="1"/>
      <protection hidden="1"/>
    </xf>
    <xf numFmtId="177" fontId="16" fillId="2" borderId="31" xfId="0" applyNumberFormat="1" applyFont="1" applyFill="1" applyBorder="1" applyAlignment="1" applyProtection="1">
      <alignment horizontal="center" vertical="center" wrapText="1"/>
      <protection hidden="1"/>
    </xf>
    <xf numFmtId="177" fontId="16" fillId="0" borderId="42" xfId="0" applyNumberFormat="1" applyFont="1" applyFill="1" applyBorder="1" applyAlignment="1" applyProtection="1">
      <alignment vertical="center" wrapText="1"/>
      <protection hidden="1"/>
    </xf>
    <xf numFmtId="0" fontId="0" fillId="0" borderId="61" xfId="0" applyBorder="1"/>
    <xf numFmtId="177" fontId="16" fillId="0" borderId="0" xfId="0" applyNumberFormat="1" applyFont="1" applyFill="1" applyBorder="1" applyAlignment="1" applyProtection="1">
      <alignment vertical="center" wrapText="1"/>
      <protection hidden="1"/>
    </xf>
    <xf numFmtId="0" fontId="26" fillId="0" borderId="53" xfId="0" applyFont="1" applyBorder="1"/>
    <xf numFmtId="0" fontId="26" fillId="0" borderId="31" xfId="0" applyFont="1" applyBorder="1"/>
    <xf numFmtId="177" fontId="16" fillId="2" borderId="24" xfId="0" applyNumberFormat="1" applyFont="1" applyFill="1" applyBorder="1" applyAlignment="1" applyProtection="1">
      <alignment horizontal="center" vertical="center" wrapText="1"/>
      <protection hidden="1"/>
    </xf>
    <xf numFmtId="188" fontId="16" fillId="2" borderId="10" xfId="0" applyNumberFormat="1" applyFont="1" applyFill="1" applyBorder="1" applyAlignment="1" applyProtection="1">
      <alignment horizontal="center" vertical="center" wrapText="1"/>
      <protection hidden="1"/>
    </xf>
    <xf numFmtId="188" fontId="16" fillId="2" borderId="57" xfId="0" applyNumberFormat="1" applyFont="1" applyFill="1" applyBorder="1" applyAlignment="1" applyProtection="1">
      <alignment horizontal="center" vertical="center" wrapText="1"/>
      <protection hidden="1"/>
    </xf>
    <xf numFmtId="0" fontId="26" fillId="2" borderId="40" xfId="0" applyFont="1" applyFill="1" applyBorder="1" applyAlignment="1" applyProtection="1">
      <alignment horizontal="center" vertical="center" wrapText="1"/>
      <protection hidden="1"/>
    </xf>
    <xf numFmtId="0" fontId="16" fillId="2" borderId="57" xfId="0" applyNumberFormat="1" applyFont="1" applyFill="1" applyBorder="1" applyAlignment="1" applyProtection="1">
      <alignment horizontal="center" vertical="center" wrapText="1"/>
      <protection hidden="1"/>
    </xf>
    <xf numFmtId="177" fontId="26" fillId="0" borderId="3" xfId="0" applyNumberFormat="1" applyFont="1" applyFill="1" applyBorder="1" applyAlignment="1" applyProtection="1">
      <alignment vertical="center" wrapText="1"/>
      <protection hidden="1"/>
    </xf>
    <xf numFmtId="177" fontId="26" fillId="0" borderId="18" xfId="0" applyNumberFormat="1" applyFont="1" applyFill="1" applyBorder="1" applyAlignment="1" applyProtection="1">
      <alignment vertical="center" wrapText="1"/>
      <protection hidden="1"/>
    </xf>
    <xf numFmtId="0" fontId="26" fillId="0" borderId="6" xfId="0" applyFont="1" applyFill="1" applyBorder="1" applyAlignment="1" applyProtection="1">
      <alignment horizontal="center" vertical="center" wrapText="1"/>
      <protection hidden="1"/>
    </xf>
    <xf numFmtId="177" fontId="26" fillId="2" borderId="39" xfId="0" applyNumberFormat="1" applyFont="1" applyFill="1" applyBorder="1" applyAlignment="1" applyProtection="1">
      <alignment horizontal="center" vertical="center" wrapText="1"/>
      <protection hidden="1"/>
    </xf>
    <xf numFmtId="177" fontId="26" fillId="0" borderId="42" xfId="0" applyNumberFormat="1" applyFont="1" applyFill="1" applyBorder="1" applyAlignment="1" applyProtection="1">
      <alignment vertical="center" wrapText="1"/>
      <protection hidden="1"/>
    </xf>
    <xf numFmtId="188" fontId="16" fillId="2" borderId="23" xfId="0" applyNumberFormat="1" applyFont="1" applyFill="1" applyBorder="1" applyAlignment="1" applyProtection="1">
      <alignment horizontal="center" vertical="center" wrapText="1"/>
      <protection hidden="1"/>
    </xf>
    <xf numFmtId="177" fontId="26" fillId="0" borderId="9" xfId="0" applyNumberFormat="1" applyFont="1" applyFill="1" applyBorder="1" applyAlignment="1" applyProtection="1">
      <alignment horizontal="center" vertical="center" wrapText="1"/>
      <protection hidden="1"/>
    </xf>
    <xf numFmtId="0" fontId="0" fillId="0" borderId="42" xfId="0" applyBorder="1"/>
    <xf numFmtId="0" fontId="26" fillId="2" borderId="60" xfId="0" applyFont="1" applyFill="1" applyBorder="1" applyAlignment="1" applyProtection="1">
      <alignment horizontal="center" vertical="center" wrapText="1"/>
      <protection hidden="1"/>
    </xf>
    <xf numFmtId="0" fontId="0" fillId="0" borderId="8" xfId="0" applyBorder="1" applyAlignment="1">
      <alignment horizontal="center"/>
    </xf>
    <xf numFmtId="0" fontId="26" fillId="0" borderId="2" xfId="0" applyFont="1" applyBorder="1"/>
    <xf numFmtId="177" fontId="16" fillId="2" borderId="36" xfId="0" applyNumberFormat="1" applyFont="1" applyFill="1" applyBorder="1" applyAlignment="1" applyProtection="1">
      <alignment horizontal="center" vertical="center" wrapText="1"/>
      <protection hidden="1"/>
    </xf>
    <xf numFmtId="177" fontId="16" fillId="2" borderId="49" xfId="0" applyNumberFormat="1" applyFont="1" applyFill="1" applyBorder="1" applyAlignment="1" applyProtection="1">
      <alignment horizontal="center" vertical="center" wrapText="1"/>
      <protection hidden="1"/>
    </xf>
    <xf numFmtId="177" fontId="16" fillId="2" borderId="22" xfId="0" applyNumberFormat="1" applyFont="1" applyFill="1" applyBorder="1" applyAlignment="1" applyProtection="1">
      <alignment horizontal="center" vertical="center" wrapText="1"/>
      <protection hidden="1"/>
    </xf>
    <xf numFmtId="177" fontId="16" fillId="2" borderId="62" xfId="0" applyNumberFormat="1" applyFont="1" applyFill="1" applyBorder="1" applyAlignment="1" applyProtection="1">
      <alignment horizontal="center" vertical="center" wrapText="1"/>
      <protection hidden="1"/>
    </xf>
    <xf numFmtId="14" fontId="8" fillId="10" borderId="7" xfId="4" quotePrefix="1" applyNumberFormat="1" applyFont="1" applyFill="1" applyBorder="1" applyAlignment="1" applyProtection="1">
      <alignment horizontal="center" vertical="center"/>
      <protection hidden="1"/>
    </xf>
    <xf numFmtId="0" fontId="15" fillId="5" borderId="7" xfId="0" applyFont="1" applyFill="1" applyBorder="1" applyAlignment="1" applyProtection="1">
      <alignment horizontal="center" vertical="center"/>
      <protection locked="0"/>
    </xf>
    <xf numFmtId="0" fontId="62" fillId="0" borderId="8" xfId="0" applyFont="1" applyFill="1" applyBorder="1" applyAlignment="1">
      <alignment horizontal="center"/>
    </xf>
    <xf numFmtId="0" fontId="62" fillId="0" borderId="9" xfId="0" applyFont="1" applyFill="1" applyBorder="1" applyAlignment="1">
      <alignment horizontal="center"/>
    </xf>
    <xf numFmtId="0" fontId="62" fillId="0" borderId="38" xfId="0" applyFont="1" applyFill="1" applyBorder="1" applyAlignment="1">
      <alignment horizontal="center"/>
    </xf>
    <xf numFmtId="0" fontId="7" fillId="9" borderId="16" xfId="0" applyFont="1" applyFill="1" applyBorder="1" applyAlignment="1">
      <alignment horizontal="center"/>
    </xf>
    <xf numFmtId="0" fontId="63" fillId="28" borderId="0" xfId="2" applyFont="1" applyFill="1" applyBorder="1" applyAlignment="1">
      <alignment horizontal="center" vertical="center"/>
    </xf>
    <xf numFmtId="187" fontId="0" fillId="29" borderId="8" xfId="0" applyNumberFormat="1" applyFill="1" applyBorder="1" applyAlignment="1">
      <alignment horizontal="center"/>
    </xf>
    <xf numFmtId="0" fontId="0" fillId="0" borderId="14" xfId="0" applyBorder="1"/>
    <xf numFmtId="0" fontId="62" fillId="0" borderId="17" xfId="0" applyFont="1" applyFill="1" applyBorder="1" applyAlignment="1">
      <alignment horizontal="center"/>
    </xf>
    <xf numFmtId="0" fontId="7" fillId="30" borderId="16" xfId="0" applyFont="1" applyFill="1" applyBorder="1" applyAlignment="1">
      <alignment horizontal="center"/>
    </xf>
    <xf numFmtId="0" fontId="7" fillId="30" borderId="11" xfId="0" applyFont="1" applyFill="1" applyBorder="1" applyAlignment="1">
      <alignment horizontal="center"/>
    </xf>
    <xf numFmtId="0" fontId="0" fillId="0" borderId="9" xfId="0" applyFill="1" applyBorder="1"/>
    <xf numFmtId="0" fontId="0" fillId="0" borderId="1" xfId="0" applyFill="1" applyBorder="1"/>
    <xf numFmtId="0" fontId="0" fillId="0" borderId="65" xfId="0" applyBorder="1"/>
    <xf numFmtId="0" fontId="0" fillId="0" borderId="55" xfId="0" applyBorder="1"/>
    <xf numFmtId="0" fontId="16" fillId="0" borderId="0" xfId="0" applyFont="1" applyFill="1" applyBorder="1" applyAlignment="1">
      <alignment horizontal="left" vertical="center"/>
    </xf>
    <xf numFmtId="0" fontId="16" fillId="0" borderId="0" xfId="0" applyFont="1" applyAlignment="1">
      <alignment horizontal="left"/>
    </xf>
    <xf numFmtId="0" fontId="8" fillId="11" borderId="0" xfId="0" applyFont="1" applyFill="1" applyBorder="1"/>
    <xf numFmtId="0" fontId="8" fillId="11" borderId="0" xfId="0" applyFont="1" applyFill="1" applyBorder="1" applyAlignment="1" applyProtection="1">
      <alignment vertical="center" wrapText="1"/>
    </xf>
    <xf numFmtId="185" fontId="8" fillId="0" borderId="0" xfId="0" applyNumberFormat="1" applyFont="1" applyFill="1" applyBorder="1" applyAlignment="1" applyProtection="1">
      <alignment horizontal="left" vertical="center" wrapText="1"/>
    </xf>
    <xf numFmtId="185" fontId="16" fillId="0" borderId="0" xfId="0" applyNumberFormat="1" applyFont="1" applyAlignment="1">
      <alignment horizontal="left"/>
    </xf>
    <xf numFmtId="0" fontId="16" fillId="0" borderId="0" xfId="0" applyFont="1" applyFill="1" applyAlignment="1">
      <alignment horizontal="left"/>
    </xf>
    <xf numFmtId="0" fontId="0" fillId="5" borderId="8" xfId="0" applyFill="1" applyBorder="1" applyAlignment="1" applyProtection="1">
      <alignment horizontal="center"/>
    </xf>
    <xf numFmtId="0" fontId="0" fillId="5" borderId="14" xfId="0" applyFill="1" applyBorder="1" applyAlignment="1" applyProtection="1">
      <alignment horizontal="center"/>
    </xf>
    <xf numFmtId="0" fontId="0" fillId="0" borderId="2" xfId="0"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0" fillId="0" borderId="7" xfId="0" applyBorder="1" applyAlignment="1">
      <alignment horizontal="center" wrapText="1"/>
    </xf>
    <xf numFmtId="0" fontId="62" fillId="0" borderId="13" xfId="0" applyFont="1" applyFill="1" applyBorder="1" applyAlignment="1">
      <alignment horizontal="center"/>
    </xf>
    <xf numFmtId="0" fontId="5" fillId="0" borderId="68" xfId="0" applyFont="1" applyFill="1" applyBorder="1" applyAlignment="1">
      <alignment horizontal="right"/>
    </xf>
    <xf numFmtId="0" fontId="26" fillId="0" borderId="9" xfId="0" applyFont="1" applyFill="1" applyBorder="1"/>
    <xf numFmtId="177" fontId="16" fillId="0" borderId="0" xfId="0" applyNumberFormat="1" applyFont="1" applyFill="1" applyBorder="1" applyAlignment="1" applyProtection="1">
      <alignment horizontal="center" vertical="center" wrapText="1"/>
      <protection hidden="1"/>
    </xf>
    <xf numFmtId="0" fontId="0" fillId="0" borderId="0" xfId="0" applyFill="1" applyBorder="1" applyAlignment="1">
      <alignment horizontal="center" vertical="center"/>
    </xf>
    <xf numFmtId="186" fontId="0" fillId="0" borderId="0" xfId="0" applyNumberFormat="1" applyFill="1" applyBorder="1" applyAlignment="1">
      <alignment horizontal="center"/>
    </xf>
    <xf numFmtId="187" fontId="0" fillId="0" borderId="0" xfId="0" applyNumberFormat="1" applyFill="1" applyBorder="1" applyAlignment="1">
      <alignment horizontal="center"/>
    </xf>
    <xf numFmtId="0" fontId="25" fillId="31" borderId="0" xfId="0" applyFont="1" applyFill="1" applyBorder="1" applyAlignment="1" applyProtection="1">
      <alignment horizontal="center" vertical="center" wrapText="1"/>
      <protection hidden="1"/>
    </xf>
    <xf numFmtId="0" fontId="0" fillId="0" borderId="3" xfId="0" applyFill="1" applyBorder="1"/>
    <xf numFmtId="0" fontId="16" fillId="32" borderId="40" xfId="0" applyFont="1" applyFill="1" applyBorder="1" applyAlignment="1" applyProtection="1">
      <alignment horizontal="center" vertical="center" wrapText="1"/>
      <protection hidden="1"/>
    </xf>
    <xf numFmtId="177" fontId="16" fillId="32" borderId="20" xfId="0" applyNumberFormat="1" applyFont="1" applyFill="1" applyBorder="1" applyAlignment="1" applyProtection="1">
      <alignment horizontal="center" vertical="center" wrapText="1"/>
      <protection hidden="1"/>
    </xf>
    <xf numFmtId="177" fontId="16" fillId="32" borderId="21" xfId="0" applyNumberFormat="1" applyFont="1" applyFill="1" applyBorder="1" applyAlignment="1" applyProtection="1">
      <alignment horizontal="center" vertical="center" wrapText="1"/>
      <protection hidden="1"/>
    </xf>
    <xf numFmtId="177" fontId="16" fillId="32" borderId="57" xfId="0" applyNumberFormat="1" applyFont="1" applyFill="1" applyBorder="1" applyAlignment="1" applyProtection="1">
      <alignment horizontal="center" vertical="center" wrapText="1"/>
      <protection hidden="1"/>
    </xf>
    <xf numFmtId="177" fontId="16" fillId="32" borderId="42" xfId="0" applyNumberFormat="1" applyFont="1" applyFill="1" applyBorder="1" applyAlignment="1" applyProtection="1">
      <alignment horizontal="center" vertical="center" wrapText="1"/>
      <protection hidden="1"/>
    </xf>
    <xf numFmtId="177" fontId="16" fillId="32" borderId="24" xfId="0" applyNumberFormat="1" applyFont="1" applyFill="1" applyBorder="1" applyAlignment="1" applyProtection="1">
      <alignment horizontal="center" vertical="center" wrapText="1"/>
      <protection hidden="1"/>
    </xf>
    <xf numFmtId="0" fontId="16" fillId="32" borderId="10" xfId="0" applyNumberFormat="1" applyFont="1" applyFill="1" applyBorder="1" applyAlignment="1" applyProtection="1">
      <alignment horizontal="center" vertical="center" wrapText="1"/>
      <protection hidden="1"/>
    </xf>
    <xf numFmtId="0" fontId="25" fillId="13" borderId="0" xfId="0" applyFont="1" applyFill="1" applyBorder="1" applyAlignment="1" applyProtection="1">
      <alignment vertical="center" wrapText="1"/>
      <protection hidden="1"/>
    </xf>
    <xf numFmtId="0" fontId="0" fillId="33" borderId="32" xfId="0" applyFill="1" applyBorder="1"/>
    <xf numFmtId="0" fontId="0" fillId="33" borderId="29" xfId="0" applyFill="1" applyBorder="1"/>
    <xf numFmtId="0" fontId="16" fillId="0" borderId="29" xfId="0" applyFont="1" applyFill="1" applyBorder="1" applyAlignment="1">
      <alignment horizontal="center" vertical="center"/>
    </xf>
    <xf numFmtId="177" fontId="26" fillId="32" borderId="34" xfId="0" applyNumberFormat="1" applyFont="1" applyFill="1" applyBorder="1" applyAlignment="1">
      <alignment horizontal="center" vertical="center" wrapText="1"/>
    </xf>
    <xf numFmtId="179" fontId="0" fillId="0" borderId="9" xfId="0" applyNumberFormat="1" applyFill="1" applyBorder="1" applyAlignment="1">
      <alignment horizontal="center"/>
    </xf>
    <xf numFmtId="179" fontId="0" fillId="0" borderId="67" xfId="0" applyNumberFormat="1" applyFill="1" applyBorder="1"/>
    <xf numFmtId="179" fontId="0" fillId="0" borderId="15" xfId="0" applyNumberFormat="1" applyFill="1" applyBorder="1" applyAlignment="1">
      <alignment horizontal="center"/>
    </xf>
    <xf numFmtId="0" fontId="0" fillId="0" borderId="42" xfId="0" applyFill="1" applyBorder="1" applyAlignment="1">
      <alignment horizontal="center"/>
    </xf>
    <xf numFmtId="0" fontId="0" fillId="0" borderId="12" xfId="0" applyFill="1" applyBorder="1" applyAlignment="1">
      <alignment horizontal="center"/>
    </xf>
    <xf numFmtId="187" fontId="0" fillId="34" borderId="8" xfId="0" applyNumberFormat="1" applyFill="1" applyBorder="1" applyAlignment="1">
      <alignment horizontal="center"/>
    </xf>
    <xf numFmtId="0" fontId="0" fillId="33" borderId="11" xfId="0" applyFill="1" applyBorder="1"/>
    <xf numFmtId="0" fontId="0" fillId="35" borderId="0" xfId="0" applyFill="1"/>
    <xf numFmtId="0" fontId="8" fillId="0" borderId="8" xfId="0" quotePrefix="1" applyFont="1" applyBorder="1" applyAlignment="1">
      <alignment horizontal="left" wrapText="1"/>
    </xf>
    <xf numFmtId="187" fontId="16" fillId="33" borderId="59" xfId="0" applyNumberFormat="1" applyFont="1" applyFill="1" applyBorder="1"/>
    <xf numFmtId="191" fontId="0" fillId="34" borderId="8" xfId="0" applyNumberFormat="1" applyFill="1" applyBorder="1" applyAlignment="1">
      <alignment horizontal="center"/>
    </xf>
    <xf numFmtId="0" fontId="8" fillId="10" borderId="8" xfId="4" quotePrefix="1" applyFont="1" applyFill="1" applyBorder="1" applyAlignment="1" applyProtection="1">
      <alignment horizontal="left" wrapText="1"/>
      <protection hidden="1"/>
    </xf>
    <xf numFmtId="196" fontId="16" fillId="2" borderId="19" xfId="0" applyNumberFormat="1" applyFont="1" applyFill="1" applyBorder="1" applyAlignment="1">
      <alignment horizontal="center"/>
    </xf>
    <xf numFmtId="49" fontId="8" fillId="10" borderId="8" xfId="4" quotePrefix="1" applyNumberFormat="1" applyFont="1" applyFill="1" applyBorder="1" applyAlignment="1" applyProtection="1">
      <alignment horizontal="left" vertical="top" wrapText="1"/>
      <protection hidden="1"/>
    </xf>
    <xf numFmtId="9" fontId="15" fillId="0" borderId="0" xfId="0" applyNumberFormat="1" applyFont="1" applyFill="1" applyBorder="1" applyAlignment="1">
      <alignment horizontal="center"/>
    </xf>
    <xf numFmtId="9" fontId="64" fillId="0" borderId="0" xfId="0" applyNumberFormat="1" applyFont="1" applyAlignment="1">
      <alignment horizontal="center"/>
    </xf>
    <xf numFmtId="0" fontId="16" fillId="0" borderId="7" xfId="0" applyFont="1" applyBorder="1" applyAlignment="1">
      <alignment horizontal="center" wrapText="1"/>
    </xf>
    <xf numFmtId="0" fontId="65" fillId="0" borderId="0" xfId="0" applyFont="1" applyFill="1" applyAlignment="1">
      <alignment horizontal="left"/>
    </xf>
    <xf numFmtId="0" fontId="66" fillId="0" borderId="0" xfId="0" applyFont="1" applyFill="1" applyBorder="1" applyAlignment="1">
      <alignment horizontal="left"/>
    </xf>
    <xf numFmtId="0" fontId="65" fillId="0" borderId="0" xfId="0" applyFont="1" applyFill="1" applyBorder="1" applyAlignment="1">
      <alignment horizontal="left"/>
    </xf>
    <xf numFmtId="0" fontId="65" fillId="0" borderId="0" xfId="0" applyFont="1" applyFill="1"/>
    <xf numFmtId="0" fontId="65" fillId="0" borderId="0" xfId="0" applyFont="1" applyFill="1" applyAlignment="1">
      <alignment horizontal="left" wrapText="1"/>
    </xf>
    <xf numFmtId="0" fontId="0" fillId="22" borderId="0" xfId="0" applyFill="1"/>
    <xf numFmtId="10" fontId="16" fillId="22" borderId="0" xfId="7" applyNumberFormat="1" applyFont="1" applyFill="1"/>
    <xf numFmtId="186" fontId="51" fillId="17" borderId="0" xfId="3" applyNumberFormat="1" applyAlignment="1">
      <alignment horizontal="center"/>
    </xf>
    <xf numFmtId="0" fontId="51" fillId="17" borderId="7" xfId="3" applyBorder="1" applyAlignment="1">
      <alignment horizontal="center"/>
    </xf>
    <xf numFmtId="178" fontId="51" fillId="17" borderId="7" xfId="3" applyNumberFormat="1" applyBorder="1" applyAlignment="1">
      <alignment horizontal="center"/>
    </xf>
    <xf numFmtId="1" fontId="51" fillId="17" borderId="19" xfId="7" applyNumberFormat="1" applyFont="1" applyFill="1" applyBorder="1" applyAlignment="1">
      <alignment horizontal="center"/>
    </xf>
    <xf numFmtId="0" fontId="47" fillId="36" borderId="0" xfId="0" applyFont="1" applyFill="1"/>
    <xf numFmtId="0" fontId="67" fillId="36" borderId="7" xfId="0" applyFont="1" applyFill="1" applyBorder="1" applyAlignment="1">
      <alignment horizontal="center" wrapText="1"/>
    </xf>
    <xf numFmtId="0" fontId="47" fillId="36" borderId="7" xfId="0" applyFont="1" applyFill="1" applyBorder="1" applyAlignment="1">
      <alignment horizontal="center"/>
    </xf>
    <xf numFmtId="0" fontId="47" fillId="36" borderId="0" xfId="0" applyFont="1" applyFill="1" applyAlignment="1">
      <alignment horizontal="center"/>
    </xf>
    <xf numFmtId="0" fontId="12" fillId="4" borderId="69" xfId="0" applyFont="1" applyFill="1" applyBorder="1" applyAlignment="1">
      <alignment horizontal="center" wrapText="1"/>
    </xf>
    <xf numFmtId="189" fontId="16" fillId="2" borderId="23" xfId="0" applyNumberFormat="1" applyFont="1" applyFill="1" applyBorder="1" applyAlignment="1" applyProtection="1">
      <alignment horizontal="center" vertical="center" wrapText="1"/>
      <protection hidden="1"/>
    </xf>
    <xf numFmtId="189" fontId="16" fillId="2" borderId="31" xfId="0" applyNumberFormat="1" applyFont="1" applyFill="1" applyBorder="1" applyAlignment="1" applyProtection="1">
      <alignment horizontal="center" vertical="center" wrapText="1"/>
      <protection hidden="1"/>
    </xf>
    <xf numFmtId="0" fontId="8" fillId="0" borderId="0" xfId="0" applyFont="1" applyAlignment="1">
      <alignment horizontal="center"/>
    </xf>
    <xf numFmtId="177" fontId="44" fillId="0" borderId="0" xfId="0" applyNumberFormat="1" applyFont="1" applyFill="1" applyBorder="1" applyAlignment="1" applyProtection="1">
      <alignment horizontal="center" vertical="center" wrapText="1"/>
      <protection hidden="1"/>
    </xf>
    <xf numFmtId="177" fontId="68" fillId="26" borderId="33" xfId="0" applyNumberFormat="1" applyFont="1" applyFill="1" applyBorder="1" applyAlignment="1" applyProtection="1">
      <alignment vertical="center"/>
      <protection hidden="1"/>
    </xf>
    <xf numFmtId="0" fontId="65" fillId="26" borderId="43" xfId="0" applyFont="1" applyFill="1" applyBorder="1"/>
    <xf numFmtId="0" fontId="65" fillId="26" borderId="19" xfId="0" applyFont="1" applyFill="1" applyBorder="1"/>
    <xf numFmtId="0" fontId="27" fillId="0" borderId="33" xfId="0" applyFont="1" applyFill="1" applyBorder="1" applyAlignment="1">
      <alignment wrapText="1"/>
    </xf>
    <xf numFmtId="0" fontId="27" fillId="0" borderId="43" xfId="0" applyFont="1" applyFill="1" applyBorder="1" applyAlignment="1">
      <alignment wrapText="1"/>
    </xf>
    <xf numFmtId="0" fontId="27" fillId="0" borderId="19" xfId="0" applyFont="1" applyFill="1" applyBorder="1" applyAlignment="1">
      <alignment wrapText="1"/>
    </xf>
    <xf numFmtId="0" fontId="0" fillId="0" borderId="0" xfId="0" applyAlignment="1">
      <alignment horizontal="left"/>
    </xf>
    <xf numFmtId="0" fontId="0" fillId="0" borderId="0" xfId="0" applyAlignment="1">
      <alignment horizontal="center"/>
    </xf>
    <xf numFmtId="0" fontId="16" fillId="0" borderId="0" xfId="0" applyFont="1" applyAlignment="1">
      <alignment horizontal="center"/>
    </xf>
    <xf numFmtId="10" fontId="0" fillId="0" borderId="49" xfId="0" applyNumberFormat="1" applyBorder="1" applyAlignment="1">
      <alignment horizontal="center"/>
    </xf>
    <xf numFmtId="10" fontId="0" fillId="14" borderId="7" xfId="0" applyNumberFormat="1" applyFill="1" applyBorder="1" applyAlignment="1">
      <alignment horizontal="center"/>
    </xf>
    <xf numFmtId="176" fontId="0" fillId="14" borderId="7" xfId="0" applyNumberFormat="1" applyFill="1" applyBorder="1" applyAlignment="1">
      <alignment horizontal="center"/>
    </xf>
    <xf numFmtId="186" fontId="0" fillId="14" borderId="7" xfId="0" applyNumberFormat="1" applyFill="1" applyBorder="1" applyAlignment="1">
      <alignment horizontal="center"/>
    </xf>
    <xf numFmtId="0" fontId="0" fillId="43" borderId="7" xfId="0" applyFill="1" applyBorder="1"/>
    <xf numFmtId="177" fontId="0" fillId="43" borderId="7" xfId="0" applyNumberFormat="1" applyFill="1" applyBorder="1"/>
    <xf numFmtId="0" fontId="27" fillId="6" borderId="33" xfId="0" applyFont="1" applyFill="1" applyBorder="1" applyAlignment="1">
      <alignment horizontal="left"/>
    </xf>
    <xf numFmtId="0" fontId="27" fillId="6" borderId="43" xfId="0" applyFont="1" applyFill="1" applyBorder="1" applyAlignment="1">
      <alignment horizontal="left"/>
    </xf>
    <xf numFmtId="0" fontId="27" fillId="6" borderId="19" xfId="0" applyFont="1" applyFill="1" applyBorder="1" applyAlignment="1">
      <alignment horizontal="left"/>
    </xf>
    <xf numFmtId="0" fontId="23" fillId="0" borderId="0" xfId="0" applyFont="1" applyAlignment="1">
      <alignment horizontal="center"/>
    </xf>
    <xf numFmtId="0" fontId="0" fillId="0" borderId="0" xfId="0" applyAlignment="1">
      <alignment horizontal="left" wrapText="1"/>
    </xf>
    <xf numFmtId="0" fontId="23" fillId="0" borderId="0" xfId="0" applyFont="1" applyAlignment="1">
      <alignment horizontal="center"/>
    </xf>
    <xf numFmtId="0" fontId="27" fillId="6" borderId="33" xfId="0" applyFont="1" applyFill="1" applyBorder="1" applyAlignment="1"/>
    <xf numFmtId="0" fontId="27" fillId="6" borderId="43" xfId="0" applyFont="1" applyFill="1" applyBorder="1" applyAlignment="1"/>
    <xf numFmtId="0" fontId="7" fillId="30" borderId="7" xfId="0" applyFont="1" applyFill="1" applyBorder="1" applyAlignment="1">
      <alignment horizontal="center"/>
    </xf>
    <xf numFmtId="178" fontId="7" fillId="30" borderId="7" xfId="0" applyNumberFormat="1" applyFont="1" applyFill="1" applyBorder="1" applyAlignment="1">
      <alignment horizontal="center"/>
    </xf>
    <xf numFmtId="0" fontId="7" fillId="30" borderId="20" xfId="0" applyFont="1" applyFill="1" applyBorder="1" applyAlignment="1">
      <alignment horizontal="center"/>
    </xf>
    <xf numFmtId="0" fontId="7" fillId="27" borderId="20" xfId="0" applyFont="1" applyFill="1" applyBorder="1" applyAlignment="1">
      <alignment horizontal="center"/>
    </xf>
    <xf numFmtId="0" fontId="7" fillId="30" borderId="10" xfId="0" applyFont="1" applyFill="1" applyBorder="1" applyAlignment="1">
      <alignment horizontal="center"/>
    </xf>
    <xf numFmtId="0" fontId="62" fillId="0" borderId="31" xfId="0" applyFont="1" applyFill="1" applyBorder="1" applyAlignment="1">
      <alignment horizontal="center"/>
    </xf>
    <xf numFmtId="0" fontId="5" fillId="0" borderId="49" xfId="0" applyFont="1" applyFill="1" applyBorder="1" applyAlignment="1">
      <alignment horizontal="right"/>
    </xf>
    <xf numFmtId="0" fontId="0" fillId="0" borderId="7" xfId="0" applyBorder="1" applyAlignment="1">
      <alignment horizontal="center"/>
    </xf>
    <xf numFmtId="0" fontId="0" fillId="0" borderId="0" xfId="0" applyAlignment="1">
      <alignment horizontal="left"/>
    </xf>
    <xf numFmtId="0" fontId="23" fillId="0" borderId="0" xfId="0" applyFont="1" applyAlignment="1">
      <alignment horizontal="center"/>
    </xf>
    <xf numFmtId="0" fontId="6" fillId="0" borderId="17" xfId="0" applyFont="1" applyFill="1" applyBorder="1" applyAlignment="1">
      <alignment horizontal="center"/>
    </xf>
    <xf numFmtId="0" fontId="6" fillId="0" borderId="14" xfId="0" applyFont="1" applyFill="1" applyBorder="1" applyAlignment="1">
      <alignment horizontal="center"/>
    </xf>
    <xf numFmtId="0" fontId="5" fillId="0" borderId="76" xfId="0" applyFont="1" applyFill="1" applyBorder="1" applyAlignment="1">
      <alignment horizontal="right"/>
    </xf>
    <xf numFmtId="0" fontId="10" fillId="0" borderId="8" xfId="0" applyFont="1" applyBorder="1" applyAlignment="1">
      <alignment horizontal="center"/>
    </xf>
    <xf numFmtId="178" fontId="7" fillId="3" borderId="7" xfId="0" applyNumberFormat="1" applyFont="1" applyFill="1" applyBorder="1" applyAlignment="1">
      <alignment horizontal="center"/>
    </xf>
    <xf numFmtId="178" fontId="7" fillId="3" borderId="16" xfId="0" applyNumberFormat="1" applyFont="1" applyFill="1" applyBorder="1" applyAlignment="1">
      <alignment horizontal="center"/>
    </xf>
    <xf numFmtId="178" fontId="7" fillId="3" borderId="11" xfId="0" applyNumberFormat="1" applyFont="1" applyFill="1" applyBorder="1" applyAlignment="1">
      <alignment horizontal="center"/>
    </xf>
    <xf numFmtId="0" fontId="0" fillId="33" borderId="7" xfId="0" applyFill="1" applyBorder="1"/>
    <xf numFmtId="189" fontId="0" fillId="18" borderId="8" xfId="0" applyNumberFormat="1" applyFill="1" applyBorder="1" applyAlignment="1">
      <alignment horizontal="center"/>
    </xf>
    <xf numFmtId="191" fontId="0" fillId="44" borderId="8" xfId="0" applyNumberFormat="1" applyFill="1" applyBorder="1" applyAlignment="1">
      <alignment horizontal="center"/>
    </xf>
    <xf numFmtId="189" fontId="0" fillId="44" borderId="13" xfId="0" applyNumberFormat="1" applyFill="1" applyBorder="1" applyAlignment="1">
      <alignment horizontal="center"/>
    </xf>
    <xf numFmtId="190" fontId="0" fillId="34" borderId="13" xfId="0" applyNumberFormat="1" applyFill="1" applyBorder="1" applyAlignment="1">
      <alignment horizontal="center"/>
    </xf>
    <xf numFmtId="0" fontId="27" fillId="29" borderId="33" xfId="0" applyFont="1" applyFill="1" applyBorder="1" applyAlignment="1"/>
    <xf numFmtId="0" fontId="27" fillId="29" borderId="43" xfId="0" applyFont="1" applyFill="1" applyBorder="1" applyAlignment="1"/>
    <xf numFmtId="0" fontId="27" fillId="29" borderId="19" xfId="0" applyFont="1" applyFill="1" applyBorder="1" applyAlignment="1"/>
    <xf numFmtId="0" fontId="27" fillId="6" borderId="19" xfId="0" applyFont="1" applyFill="1" applyBorder="1" applyAlignment="1"/>
    <xf numFmtId="9" fontId="7" fillId="27" borderId="11" xfId="0" applyNumberFormat="1" applyFont="1" applyFill="1" applyBorder="1" applyAlignment="1">
      <alignment horizontal="center"/>
    </xf>
    <xf numFmtId="0" fontId="2" fillId="0" borderId="0" xfId="4" applyFont="1" applyBorder="1" applyAlignment="1">
      <alignment horizontal="center" wrapText="1"/>
    </xf>
    <xf numFmtId="178" fontId="48" fillId="22" borderId="39" xfId="0" applyNumberFormat="1" applyFont="1" applyFill="1" applyBorder="1" applyAlignment="1">
      <alignment horizontal="center"/>
    </xf>
    <xf numFmtId="0" fontId="52" fillId="24" borderId="0" xfId="0" applyFont="1" applyFill="1" applyBorder="1" applyAlignment="1">
      <alignment horizontal="center" vertical="center" wrapText="1"/>
    </xf>
    <xf numFmtId="178" fontId="48" fillId="22" borderId="7" xfId="0" applyNumberFormat="1" applyFont="1" applyFill="1" applyBorder="1" applyAlignment="1">
      <alignment horizontal="center"/>
    </xf>
    <xf numFmtId="178" fontId="48" fillId="22" borderId="10" xfId="0" applyNumberFormat="1" applyFont="1" applyFill="1" applyBorder="1" applyAlignment="1">
      <alignment horizontal="center"/>
    </xf>
    <xf numFmtId="186" fontId="59" fillId="22" borderId="39" xfId="0" applyNumberFormat="1" applyFont="1" applyFill="1" applyBorder="1" applyAlignment="1">
      <alignment horizontal="center"/>
    </xf>
    <xf numFmtId="193" fontId="0" fillId="0" borderId="58" xfId="0" applyNumberFormat="1" applyFill="1" applyBorder="1" applyAlignment="1">
      <alignment horizontal="center"/>
    </xf>
    <xf numFmtId="193" fontId="0" fillId="0" borderId="19" xfId="0" applyNumberFormat="1" applyFill="1" applyBorder="1" applyAlignment="1">
      <alignment horizontal="center"/>
    </xf>
    <xf numFmtId="1" fontId="59" fillId="22" borderId="7" xfId="0" applyNumberFormat="1" applyFont="1" applyFill="1" applyBorder="1" applyAlignment="1">
      <alignment horizontal="center" vertical="center"/>
    </xf>
    <xf numFmtId="178" fontId="44" fillId="22" borderId="33" xfId="0" applyNumberFormat="1" applyFont="1" applyFill="1" applyBorder="1" applyAlignment="1" applyProtection="1">
      <alignment horizontal="center"/>
    </xf>
    <xf numFmtId="178" fontId="0" fillId="0" borderId="11" xfId="0" applyNumberFormat="1" applyFill="1" applyBorder="1" applyAlignment="1">
      <alignment horizontal="center" wrapText="1"/>
    </xf>
    <xf numFmtId="178" fontId="0" fillId="19" borderId="11" xfId="0" applyNumberFormat="1" applyFill="1" applyBorder="1" applyAlignment="1">
      <alignment horizontal="center"/>
    </xf>
    <xf numFmtId="180" fontId="43" fillId="19" borderId="13" xfId="6" applyNumberFormat="1" applyFont="1" applyFill="1" applyBorder="1" applyAlignment="1">
      <alignment horizontal="center" vertical="center" wrapText="1"/>
    </xf>
    <xf numFmtId="178" fontId="0" fillId="0" borderId="7" xfId="0" applyNumberFormat="1" applyFill="1" applyBorder="1" applyAlignment="1">
      <alignment horizontal="center" wrapText="1"/>
    </xf>
    <xf numFmtId="178" fontId="0" fillId="19" borderId="7" xfId="0" applyNumberFormat="1" applyFill="1" applyBorder="1" applyAlignment="1">
      <alignment horizontal="center"/>
    </xf>
    <xf numFmtId="180" fontId="43" fillId="19" borderId="8" xfId="6" applyNumberFormat="1" applyFont="1" applyFill="1" applyBorder="1" applyAlignment="1">
      <alignment horizontal="center" vertical="center" wrapText="1"/>
    </xf>
    <xf numFmtId="1" fontId="59" fillId="22" borderId="11" xfId="0" applyNumberFormat="1" applyFont="1" applyFill="1" applyBorder="1" applyAlignment="1">
      <alignment horizontal="center" vertical="center"/>
    </xf>
    <xf numFmtId="178" fontId="59" fillId="22" borderId="29" xfId="0" applyNumberFormat="1" applyFont="1" applyFill="1" applyBorder="1" applyAlignment="1">
      <alignment horizontal="center"/>
    </xf>
    <xf numFmtId="178" fontId="59" fillId="22" borderId="32" xfId="0" applyNumberFormat="1" applyFont="1" applyFill="1" applyBorder="1" applyAlignment="1">
      <alignment horizontal="center"/>
    </xf>
    <xf numFmtId="0" fontId="6" fillId="0" borderId="31" xfId="0" applyFont="1" applyFill="1" applyBorder="1" applyAlignment="1">
      <alignment horizontal="center"/>
    </xf>
    <xf numFmtId="178" fontId="7" fillId="3" borderId="52" xfId="0" applyNumberFormat="1" applyFont="1" applyFill="1" applyBorder="1" applyAlignment="1">
      <alignment horizontal="center"/>
    </xf>
    <xf numFmtId="0" fontId="6" fillId="0" borderId="65" xfId="0" applyFont="1" applyFill="1" applyBorder="1" applyAlignment="1">
      <alignment horizontal="center"/>
    </xf>
    <xf numFmtId="0" fontId="5" fillId="0" borderId="55" xfId="0" applyFont="1" applyFill="1" applyBorder="1" applyAlignment="1">
      <alignment horizontal="right"/>
    </xf>
    <xf numFmtId="0" fontId="5" fillId="0" borderId="70" xfId="0" applyFont="1" applyFill="1" applyBorder="1" applyAlignment="1">
      <alignment horizontal="right"/>
    </xf>
    <xf numFmtId="0" fontId="65" fillId="0" borderId="62" xfId="0" applyFont="1" applyFill="1" applyBorder="1" applyAlignment="1">
      <alignment vertical="center"/>
    </xf>
    <xf numFmtId="0" fontId="65" fillId="0" borderId="61" xfId="0" applyFont="1" applyFill="1" applyBorder="1" applyAlignment="1"/>
    <xf numFmtId="0" fontId="0" fillId="0" borderId="62" xfId="0" applyFill="1" applyBorder="1" applyAlignment="1">
      <alignment vertical="center"/>
    </xf>
    <xf numFmtId="0" fontId="0" fillId="0" borderId="12" xfId="0" applyFill="1" applyBorder="1" applyAlignment="1"/>
    <xf numFmtId="0" fontId="16" fillId="0" borderId="62" xfId="0" applyFont="1" applyFill="1" applyBorder="1" applyAlignment="1">
      <alignment vertical="center"/>
    </xf>
    <xf numFmtId="9" fontId="0" fillId="0" borderId="82" xfId="0" applyNumberFormat="1" applyBorder="1" applyAlignment="1">
      <alignment horizontal="center"/>
    </xf>
    <xf numFmtId="9" fontId="0" fillId="0" borderId="83" xfId="0" applyNumberFormat="1" applyBorder="1" applyAlignment="1">
      <alignment horizontal="center"/>
    </xf>
    <xf numFmtId="9" fontId="0" fillId="0" borderId="84" xfId="0" applyNumberFormat="1" applyBorder="1" applyAlignment="1">
      <alignment horizontal="center"/>
    </xf>
    <xf numFmtId="180" fontId="0" fillId="0" borderId="30" xfId="0" applyNumberFormat="1" applyBorder="1" applyAlignment="1">
      <alignment horizontal="center"/>
    </xf>
    <xf numFmtId="180" fontId="0" fillId="0" borderId="29" xfId="0" applyNumberFormat="1" applyBorder="1" applyAlignment="1">
      <alignment horizontal="center"/>
    </xf>
    <xf numFmtId="180" fontId="0" fillId="0" borderId="86" xfId="0" applyNumberFormat="1" applyBorder="1" applyAlignment="1">
      <alignment horizontal="center"/>
    </xf>
    <xf numFmtId="180" fontId="0" fillId="0" borderId="0" xfId="0" applyNumberFormat="1" applyBorder="1" applyAlignment="1">
      <alignment horizontal="center"/>
    </xf>
    <xf numFmtId="0" fontId="2" fillId="0" borderId="0" xfId="0" applyFont="1" applyFill="1" applyAlignment="1">
      <alignment horizontal="left"/>
    </xf>
    <xf numFmtId="0" fontId="15" fillId="0" borderId="0" xfId="0" applyFont="1" applyFill="1" applyBorder="1" applyAlignment="1">
      <alignment horizontal="left"/>
    </xf>
    <xf numFmtId="0" fontId="15" fillId="0" borderId="9" xfId="0" applyFont="1" applyFill="1" applyBorder="1" applyAlignment="1">
      <alignment horizontal="left"/>
    </xf>
    <xf numFmtId="2" fontId="15" fillId="0" borderId="0" xfId="0" applyNumberFormat="1" applyFont="1" applyFill="1" applyBorder="1" applyAlignment="1">
      <alignment horizontal="left"/>
    </xf>
    <xf numFmtId="2" fontId="2" fillId="0" borderId="0" xfId="0" applyNumberFormat="1" applyFont="1" applyFill="1" applyAlignment="1">
      <alignment horizontal="left"/>
    </xf>
    <xf numFmtId="0" fontId="5" fillId="0" borderId="49" xfId="0" quotePrefix="1" applyFont="1" applyFill="1" applyBorder="1" applyAlignment="1" applyProtection="1">
      <alignment horizontal="right"/>
      <protection locked="0"/>
    </xf>
    <xf numFmtId="0" fontId="7" fillId="5" borderId="52" xfId="0" applyFont="1" applyFill="1" applyBorder="1" applyAlignment="1">
      <alignment horizontal="center"/>
    </xf>
    <xf numFmtId="0" fontId="62" fillId="0" borderId="61" xfId="0" applyFont="1" applyFill="1" applyBorder="1" applyAlignment="1">
      <alignment horizontal="center"/>
    </xf>
    <xf numFmtId="0" fontId="15" fillId="0" borderId="0" xfId="0" applyFont="1" applyFill="1" applyBorder="1" applyAlignment="1">
      <alignment vertical="center" wrapText="1"/>
    </xf>
    <xf numFmtId="0" fontId="65" fillId="0" borderId="0" xfId="0" applyFont="1"/>
    <xf numFmtId="0" fontId="23" fillId="22" borderId="0" xfId="0" applyNumberFormat="1" applyFont="1" applyFill="1" applyAlignment="1">
      <alignment horizontal="center"/>
    </xf>
    <xf numFmtId="0" fontId="23" fillId="45" borderId="0" xfId="0" applyNumberFormat="1" applyFont="1" applyFill="1" applyAlignment="1">
      <alignment horizontal="center"/>
    </xf>
    <xf numFmtId="0" fontId="8" fillId="0" borderId="0" xfId="0" applyFont="1" applyBorder="1" applyAlignment="1">
      <alignment horizontal="left"/>
    </xf>
    <xf numFmtId="0" fontId="2" fillId="0" borderId="0" xfId="0" applyFont="1" applyBorder="1"/>
    <xf numFmtId="0" fontId="70" fillId="0" borderId="0" xfId="0" applyFont="1" applyFill="1" applyBorder="1" applyAlignment="1"/>
    <xf numFmtId="0" fontId="0" fillId="0" borderId="0" xfId="0" applyProtection="1">
      <protection locked="0"/>
    </xf>
    <xf numFmtId="0" fontId="0" fillId="0" borderId="7" xfId="0" applyBorder="1" applyAlignment="1">
      <alignment horizontal="center"/>
    </xf>
    <xf numFmtId="180" fontId="0" fillId="0" borderId="57" xfId="0" applyNumberFormat="1" applyBorder="1" applyAlignment="1">
      <alignment horizontal="center"/>
    </xf>
    <xf numFmtId="180" fontId="0" fillId="0" borderId="33" xfId="0" applyNumberFormat="1" applyBorder="1" applyAlignment="1">
      <alignment horizontal="center"/>
    </xf>
    <xf numFmtId="180" fontId="0" fillId="0" borderId="88" xfId="0" applyNumberFormat="1" applyBorder="1" applyAlignment="1">
      <alignment horizontal="center"/>
    </xf>
    <xf numFmtId="1" fontId="61" fillId="0" borderId="7" xfId="3" applyNumberFormat="1" applyFont="1" applyFill="1" applyBorder="1" applyAlignment="1">
      <alignment horizontal="center"/>
    </xf>
    <xf numFmtId="1" fontId="61" fillId="0" borderId="87" xfId="3" applyNumberFormat="1" applyFont="1" applyFill="1" applyBorder="1" applyAlignment="1">
      <alignment horizontal="center"/>
    </xf>
    <xf numFmtId="1" fontId="61" fillId="0" borderId="10" xfId="3" applyNumberFormat="1" applyFont="1" applyFill="1" applyBorder="1" applyAlignment="1">
      <alignment horizontal="center"/>
    </xf>
    <xf numFmtId="0" fontId="0" fillId="0" borderId="87" xfId="0" applyBorder="1" applyAlignment="1">
      <alignment horizontal="center"/>
    </xf>
    <xf numFmtId="0" fontId="0" fillId="0" borderId="16" xfId="0" applyBorder="1" applyAlignment="1">
      <alignment horizontal="center"/>
    </xf>
    <xf numFmtId="0" fontId="0" fillId="0" borderId="3" xfId="0" applyBorder="1" applyAlignment="1">
      <alignment horizontal="center" wrapText="1"/>
    </xf>
    <xf numFmtId="0" fontId="0" fillId="0" borderId="89" xfId="0" applyBorder="1" applyAlignment="1">
      <alignment horizontal="center" wrapText="1"/>
    </xf>
    <xf numFmtId="1" fontId="0" fillId="0" borderId="43" xfId="0" applyNumberFormat="1" applyBorder="1" applyAlignment="1">
      <alignment horizontal="center"/>
    </xf>
    <xf numFmtId="1" fontId="0" fillId="0" borderId="90" xfId="0" applyNumberFormat="1" applyBorder="1" applyAlignment="1">
      <alignment horizontal="center"/>
    </xf>
    <xf numFmtId="180" fontId="0" fillId="0" borderId="16" xfId="0" applyNumberFormat="1" applyBorder="1" applyAlignment="1">
      <alignment horizontal="center"/>
    </xf>
    <xf numFmtId="180" fontId="0" fillId="0" borderId="7" xfId="0" applyNumberFormat="1" applyBorder="1" applyAlignment="1">
      <alignment horizontal="center"/>
    </xf>
    <xf numFmtId="180" fontId="0" fillId="0" borderId="87" xfId="0" applyNumberFormat="1" applyBorder="1" applyAlignment="1">
      <alignment horizontal="center"/>
    </xf>
    <xf numFmtId="0" fontId="0" fillId="0" borderId="0" xfId="0" applyAlignment="1">
      <alignment horizontal="center"/>
    </xf>
    <xf numFmtId="0" fontId="2" fillId="26" borderId="7" xfId="0" applyFont="1" applyFill="1" applyBorder="1" applyAlignment="1">
      <alignment horizontal="center"/>
    </xf>
    <xf numFmtId="0" fontId="27" fillId="0" borderId="0" xfId="0" applyFont="1" applyFill="1" applyBorder="1" applyAlignment="1"/>
    <xf numFmtId="0" fontId="74" fillId="0" borderId="0" xfId="0" applyFont="1" applyAlignment="1">
      <alignment horizontal="center"/>
    </xf>
    <xf numFmtId="0" fontId="2" fillId="0" borderId="94" xfId="0" applyFont="1" applyBorder="1" applyAlignment="1">
      <alignment horizontal="center"/>
    </xf>
    <xf numFmtId="0" fontId="2" fillId="0" borderId="95" xfId="0" applyFont="1" applyBorder="1" applyAlignment="1">
      <alignment horizontal="center"/>
    </xf>
    <xf numFmtId="0" fontId="2" fillId="0" borderId="95" xfId="0" applyFont="1" applyFill="1" applyBorder="1" applyAlignment="1">
      <alignment horizontal="center"/>
    </xf>
    <xf numFmtId="0" fontId="73" fillId="0" borderId="96" xfId="0" applyFont="1" applyBorder="1" applyAlignment="1">
      <alignment horizontal="center" wrapText="1"/>
    </xf>
    <xf numFmtId="0" fontId="0" fillId="26" borderId="97" xfId="0" applyFill="1" applyBorder="1" applyAlignment="1">
      <alignment horizontal="center"/>
    </xf>
    <xf numFmtId="0" fontId="0" fillId="26" borderId="98" xfId="0" applyFill="1" applyBorder="1" applyAlignment="1">
      <alignment horizontal="center"/>
    </xf>
    <xf numFmtId="0" fontId="0" fillId="26" borderId="98" xfId="0" applyFill="1" applyBorder="1" applyAlignment="1">
      <alignment horizontal="center" wrapText="1"/>
    </xf>
    <xf numFmtId="1" fontId="0" fillId="0" borderId="98" xfId="0" applyNumberFormat="1" applyBorder="1" applyAlignment="1" applyProtection="1">
      <alignment horizontal="center" wrapText="1"/>
    </xf>
    <xf numFmtId="186" fontId="0" fillId="0" borderId="98" xfId="0" applyNumberFormat="1" applyBorder="1" applyAlignment="1">
      <alignment horizontal="center"/>
    </xf>
    <xf numFmtId="0" fontId="0" fillId="0" borderId="99" xfId="0" applyBorder="1" applyAlignment="1">
      <alignment horizontal="center"/>
    </xf>
    <xf numFmtId="0" fontId="2" fillId="0" borderId="32" xfId="0" applyFont="1" applyBorder="1" applyAlignment="1">
      <alignment horizontal="center"/>
    </xf>
    <xf numFmtId="0" fontId="2" fillId="0" borderId="11" xfId="0" applyFont="1" applyBorder="1" applyAlignment="1">
      <alignment horizontal="center"/>
    </xf>
    <xf numFmtId="0" fontId="76" fillId="0" borderId="95" xfId="0" applyFont="1" applyBorder="1" applyAlignment="1" applyProtection="1">
      <alignment horizontal="center"/>
      <protection locked="0"/>
    </xf>
    <xf numFmtId="0" fontId="27" fillId="0" borderId="22" xfId="0" applyFont="1" applyFill="1" applyBorder="1" applyAlignment="1"/>
    <xf numFmtId="186" fontId="77" fillId="0" borderId="79" xfId="0" applyNumberFormat="1" applyFont="1" applyFill="1" applyBorder="1" applyAlignment="1">
      <alignment horizontal="center"/>
    </xf>
    <xf numFmtId="186" fontId="77" fillId="0" borderId="77" xfId="0" applyNumberFormat="1" applyFont="1" applyFill="1" applyBorder="1" applyAlignment="1">
      <alignment horizontal="center"/>
    </xf>
    <xf numFmtId="186" fontId="77" fillId="0" borderId="78" xfId="0" applyNumberFormat="1" applyFont="1" applyFill="1" applyBorder="1" applyAlignment="1">
      <alignment horizontal="center"/>
    </xf>
    <xf numFmtId="0" fontId="16" fillId="0" borderId="41" xfId="0" applyFont="1" applyBorder="1" applyAlignment="1">
      <alignment horizontal="center"/>
    </xf>
    <xf numFmtId="0" fontId="0" fillId="0" borderId="102" xfId="0" applyBorder="1" applyAlignment="1">
      <alignment horizontal="center"/>
    </xf>
    <xf numFmtId="9" fontId="0" fillId="0" borderId="103" xfId="0" applyNumberFormat="1" applyBorder="1"/>
    <xf numFmtId="9" fontId="0" fillId="0" borderId="104" xfId="0" applyNumberFormat="1" applyBorder="1"/>
    <xf numFmtId="180" fontId="0" fillId="46" borderId="9" xfId="0" applyNumberFormat="1" applyFill="1" applyBorder="1"/>
    <xf numFmtId="10" fontId="0" fillId="46" borderId="9" xfId="0" applyNumberFormat="1" applyFill="1" applyBorder="1"/>
    <xf numFmtId="9" fontId="0" fillId="46" borderId="9" xfId="0" applyNumberFormat="1" applyFill="1" applyBorder="1"/>
    <xf numFmtId="9" fontId="0" fillId="46" borderId="12" xfId="0" applyNumberFormat="1" applyFill="1" applyBorder="1"/>
    <xf numFmtId="180" fontId="0" fillId="46" borderId="12" xfId="0" applyNumberFormat="1" applyFill="1" applyBorder="1"/>
    <xf numFmtId="180" fontId="0" fillId="0" borderId="105" xfId="0" applyNumberFormat="1" applyBorder="1"/>
    <xf numFmtId="0" fontId="0" fillId="46" borderId="107" xfId="0" applyFill="1" applyBorder="1"/>
    <xf numFmtId="180" fontId="0" fillId="0" borderId="106" xfId="0" applyNumberFormat="1" applyBorder="1"/>
    <xf numFmtId="0" fontId="0" fillId="0" borderId="2" xfId="0" applyNumberFormat="1" applyBorder="1" applyAlignment="1">
      <alignment horizontal="right" wrapText="1"/>
    </xf>
    <xf numFmtId="0" fontId="0" fillId="0" borderId="105" xfId="0" applyNumberFormat="1" applyBorder="1" applyAlignment="1">
      <alignment horizontal="right" wrapText="1"/>
    </xf>
    <xf numFmtId="0" fontId="0" fillId="0" borderId="12" xfId="0" applyBorder="1" applyAlignment="1">
      <alignment horizontal="right" wrapText="1"/>
    </xf>
    <xf numFmtId="0" fontId="0" fillId="46" borderId="26" xfId="0" applyFill="1" applyBorder="1"/>
    <xf numFmtId="180" fontId="0" fillId="0" borderId="55" xfId="0" applyNumberFormat="1" applyBorder="1"/>
    <xf numFmtId="180" fontId="0" fillId="0" borderId="45" xfId="0" applyNumberFormat="1" applyBorder="1"/>
    <xf numFmtId="180" fontId="0" fillId="0" borderId="41" xfId="0" applyNumberFormat="1" applyBorder="1"/>
    <xf numFmtId="180" fontId="0" fillId="0" borderId="29" xfId="0" applyNumberFormat="1" applyBorder="1"/>
    <xf numFmtId="180" fontId="0" fillId="0" borderId="66" xfId="0" applyNumberFormat="1" applyBorder="1"/>
    <xf numFmtId="180" fontId="0" fillId="0" borderId="32" xfId="0" applyNumberFormat="1" applyBorder="1"/>
    <xf numFmtId="0" fontId="0" fillId="0" borderId="32" xfId="0" applyNumberFormat="1" applyBorder="1" applyAlignment="1">
      <alignment horizontal="right" wrapText="1"/>
    </xf>
    <xf numFmtId="180" fontId="0" fillId="0" borderId="29" xfId="0" applyNumberFormat="1" applyBorder="1" applyAlignment="1">
      <alignment wrapText="1"/>
    </xf>
    <xf numFmtId="180" fontId="0" fillId="0" borderId="32" xfId="0" applyNumberFormat="1" applyBorder="1" applyAlignment="1">
      <alignment wrapText="1"/>
    </xf>
    <xf numFmtId="0" fontId="0" fillId="0" borderId="89" xfId="0" applyBorder="1"/>
    <xf numFmtId="0" fontId="0" fillId="0" borderId="108" xfId="0" applyBorder="1"/>
    <xf numFmtId="0" fontId="0" fillId="0" borderId="81" xfId="0" applyBorder="1"/>
    <xf numFmtId="0" fontId="0" fillId="0" borderId="109" xfId="0" applyBorder="1"/>
    <xf numFmtId="0" fontId="2" fillId="0" borderId="80" xfId="0" applyFont="1" applyBorder="1"/>
    <xf numFmtId="178" fontId="8" fillId="10" borderId="29" xfId="4" applyNumberFormat="1" applyFont="1" applyFill="1" applyBorder="1" applyAlignment="1" applyProtection="1">
      <alignment horizontal="center" vertical="center"/>
      <protection hidden="1"/>
    </xf>
    <xf numFmtId="0" fontId="2" fillId="26" borderId="10" xfId="0" applyFont="1" applyFill="1" applyBorder="1" applyAlignment="1">
      <alignment horizontal="center"/>
    </xf>
    <xf numFmtId="0" fontId="2" fillId="25" borderId="7" xfId="0" applyFont="1" applyFill="1" applyBorder="1" applyAlignment="1">
      <alignment horizontal="center"/>
    </xf>
    <xf numFmtId="0" fontId="2" fillId="25" borderId="87" xfId="0" applyFont="1" applyFill="1" applyBorder="1" applyAlignment="1">
      <alignment horizontal="center"/>
    </xf>
    <xf numFmtId="0" fontId="22" fillId="0" borderId="0" xfId="0" applyFont="1" applyAlignment="1">
      <alignment horizontal="center"/>
    </xf>
    <xf numFmtId="0" fontId="7" fillId="5" borderId="10" xfId="0" applyFont="1" applyFill="1" applyBorder="1" applyAlignment="1">
      <alignment horizontal="center"/>
    </xf>
    <xf numFmtId="0" fontId="65" fillId="0" borderId="0" xfId="0" applyFont="1" applyAlignment="1">
      <alignment horizontal="center"/>
    </xf>
    <xf numFmtId="0" fontId="80" fillId="0" borderId="0" xfId="0" applyFont="1" applyFill="1" applyBorder="1" applyAlignment="1">
      <alignment horizontal="center"/>
    </xf>
    <xf numFmtId="178" fontId="0" fillId="3" borderId="20" xfId="0" applyNumberFormat="1" applyFill="1" applyBorder="1" applyAlignment="1">
      <alignment horizontal="center"/>
    </xf>
    <xf numFmtId="0" fontId="2" fillId="0" borderId="29" xfId="0" applyFont="1" applyFill="1" applyBorder="1" applyAlignment="1">
      <alignment horizontal="center"/>
    </xf>
    <xf numFmtId="0" fontId="81" fillId="13" borderId="27" xfId="8" applyNumberFormat="1" applyFont="1" applyFill="1" applyBorder="1" applyAlignment="1" applyProtection="1">
      <alignment horizontal="center" wrapText="1"/>
    </xf>
    <xf numFmtId="0" fontId="82" fillId="13" borderId="27" xfId="8" applyNumberFormat="1" applyFont="1" applyFill="1" applyBorder="1" applyAlignment="1" applyProtection="1">
      <alignment horizontal="center"/>
    </xf>
    <xf numFmtId="0" fontId="83" fillId="5" borderId="27" xfId="8" applyNumberFormat="1" applyFont="1" applyFill="1" applyBorder="1" applyAlignment="1" applyProtection="1">
      <alignment horizontal="center"/>
    </xf>
    <xf numFmtId="17" fontId="83" fillId="5" borderId="27" xfId="8" applyNumberFormat="1" applyFont="1" applyFill="1" applyBorder="1" applyAlignment="1" applyProtection="1">
      <alignment horizontal="center"/>
    </xf>
    <xf numFmtId="0" fontId="2" fillId="0" borderId="27" xfId="9" applyNumberFormat="1" applyBorder="1" applyAlignment="1" applyProtection="1">
      <alignment horizontal="center" wrapText="1"/>
      <protection locked="0"/>
    </xf>
    <xf numFmtId="198" fontId="0" fillId="7" borderId="8" xfId="0" applyNumberFormat="1" applyFill="1" applyBorder="1" applyAlignment="1">
      <alignment horizontal="center"/>
    </xf>
    <xf numFmtId="198" fontId="0" fillId="7" borderId="13" xfId="0" applyNumberFormat="1" applyFill="1" applyBorder="1" applyAlignment="1">
      <alignment horizontal="center"/>
    </xf>
    <xf numFmtId="179" fontId="8" fillId="5" borderId="10" xfId="10" applyNumberFormat="1" applyFont="1" applyFill="1" applyBorder="1" applyAlignment="1">
      <alignment horizontal="center"/>
    </xf>
    <xf numFmtId="1" fontId="8" fillId="5" borderId="7" xfId="10" applyNumberFormat="1" applyFont="1" applyFill="1" applyBorder="1" applyAlignment="1">
      <alignment horizontal="center"/>
    </xf>
    <xf numFmtId="2" fontId="8" fillId="5" borderId="7" xfId="10" applyNumberFormat="1" applyFont="1" applyFill="1" applyBorder="1" applyAlignment="1">
      <alignment horizontal="center"/>
    </xf>
    <xf numFmtId="0" fontId="8" fillId="5" borderId="7" xfId="10" applyNumberFormat="1" applyFont="1" applyFill="1" applyBorder="1" applyAlignment="1">
      <alignment horizontal="center"/>
    </xf>
    <xf numFmtId="179" fontId="2" fillId="5" borderId="7" xfId="0" applyNumberFormat="1" applyFont="1" applyFill="1" applyBorder="1" applyAlignment="1">
      <alignment horizontal="center" vertical="center"/>
    </xf>
    <xf numFmtId="0" fontId="2" fillId="0" borderId="0" xfId="0" quotePrefix="1" applyFont="1" applyFill="1" applyAlignment="1">
      <alignment horizontal="center"/>
    </xf>
    <xf numFmtId="0" fontId="0" fillId="0" borderId="0" xfId="0" applyAlignment="1">
      <alignment horizontal="left"/>
    </xf>
    <xf numFmtId="199" fontId="0" fillId="6" borderId="8" xfId="0" applyNumberFormat="1" applyFill="1" applyBorder="1" applyAlignment="1">
      <alignment horizontal="center"/>
    </xf>
    <xf numFmtId="199" fontId="0" fillId="0" borderId="14" xfId="0" applyNumberFormat="1" applyFill="1" applyBorder="1" applyAlignment="1">
      <alignment horizontal="center"/>
    </xf>
    <xf numFmtId="199" fontId="0" fillId="29" borderId="8" xfId="0" applyNumberFormat="1" applyFill="1" applyBorder="1" applyAlignment="1">
      <alignment horizontal="center"/>
    </xf>
    <xf numFmtId="199" fontId="0" fillId="0" borderId="14" xfId="0" applyNumberFormat="1" applyBorder="1"/>
    <xf numFmtId="199" fontId="0" fillId="29" borderId="14" xfId="0" applyNumberFormat="1" applyFill="1" applyBorder="1" applyAlignment="1">
      <alignment horizontal="center"/>
    </xf>
    <xf numFmtId="199" fontId="0" fillId="7" borderId="8" xfId="0" applyNumberFormat="1" applyFill="1" applyBorder="1" applyAlignment="1">
      <alignment horizontal="center"/>
    </xf>
    <xf numFmtId="199" fontId="0" fillId="0" borderId="9" xfId="0" applyNumberFormat="1" applyBorder="1" applyAlignment="1">
      <alignment horizontal="center"/>
    </xf>
    <xf numFmtId="199" fontId="0" fillId="34" borderId="8" xfId="0" applyNumberFormat="1" applyFill="1" applyBorder="1" applyAlignment="1">
      <alignment horizontal="center"/>
    </xf>
    <xf numFmtId="0" fontId="85" fillId="5" borderId="27" xfId="8" applyNumberFormat="1" applyFont="1" applyFill="1" applyBorder="1" applyAlignment="1" applyProtection="1">
      <alignment vertical="top" wrapText="1"/>
    </xf>
    <xf numFmtId="0" fontId="85" fillId="5" borderId="26" xfId="8" applyNumberFormat="1" applyFont="1" applyFill="1" applyBorder="1" applyAlignment="1" applyProtection="1">
      <alignment vertical="top" wrapText="1"/>
    </xf>
    <xf numFmtId="0" fontId="38" fillId="8" borderId="63" xfId="4" applyFont="1" applyFill="1" applyBorder="1" applyAlignment="1" applyProtection="1">
      <alignment horizontal="center" vertical="center"/>
      <protection hidden="1"/>
    </xf>
    <xf numFmtId="0" fontId="38" fillId="8" borderId="69" xfId="4" applyFont="1" applyFill="1" applyBorder="1" applyAlignment="1" applyProtection="1">
      <alignment horizontal="center" vertical="center"/>
      <protection hidden="1"/>
    </xf>
    <xf numFmtId="0" fontId="38" fillId="8" borderId="64" xfId="4" applyFont="1" applyFill="1" applyBorder="1" applyAlignment="1" applyProtection="1">
      <alignment horizontal="center" vertical="center"/>
      <protection hidden="1"/>
    </xf>
    <xf numFmtId="0" fontId="30" fillId="13" borderId="35" xfId="4" applyFont="1" applyFill="1" applyBorder="1" applyAlignment="1" applyProtection="1">
      <alignment horizontal="center" vertical="center"/>
      <protection hidden="1"/>
    </xf>
    <xf numFmtId="0" fontId="30" fillId="13" borderId="40" xfId="4" applyFont="1" applyFill="1" applyBorder="1" applyAlignment="1" applyProtection="1">
      <alignment horizontal="center" vertical="center"/>
      <protection hidden="1"/>
    </xf>
    <xf numFmtId="0" fontId="30" fillId="13" borderId="53" xfId="4" applyFont="1" applyFill="1" applyBorder="1" applyAlignment="1" applyProtection="1">
      <alignment horizontal="center" vertical="center"/>
      <protection hidden="1"/>
    </xf>
    <xf numFmtId="184" fontId="16" fillId="37" borderId="63" xfId="0" applyNumberFormat="1" applyFont="1" applyFill="1" applyBorder="1" applyAlignment="1">
      <alignment horizontal="center" vertical="center" wrapText="1"/>
    </xf>
    <xf numFmtId="184" fontId="16" fillId="37" borderId="69" xfId="0" applyNumberFormat="1" applyFont="1" applyFill="1" applyBorder="1" applyAlignment="1">
      <alignment horizontal="center" vertical="center" wrapText="1"/>
    </xf>
    <xf numFmtId="184" fontId="16" fillId="37" borderId="64" xfId="0" applyNumberFormat="1"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3" fillId="13" borderId="63" xfId="0" applyFont="1" applyFill="1" applyBorder="1" applyAlignment="1">
      <alignment horizontal="center"/>
    </xf>
    <xf numFmtId="0" fontId="3" fillId="13" borderId="69" xfId="0" applyFont="1" applyFill="1" applyBorder="1" applyAlignment="1">
      <alignment horizontal="center"/>
    </xf>
    <xf numFmtId="0" fontId="3" fillId="13" borderId="64" xfId="0" applyFont="1" applyFill="1" applyBorder="1" applyAlignment="1">
      <alignment horizontal="center"/>
    </xf>
    <xf numFmtId="184" fontId="16" fillId="0" borderId="5" xfId="0" applyNumberFormat="1" applyFont="1" applyFill="1" applyBorder="1" applyAlignment="1">
      <alignment horizontal="left" vertical="center" wrapText="1"/>
    </xf>
    <xf numFmtId="184" fontId="16" fillId="0" borderId="4" xfId="0" applyNumberFormat="1" applyFont="1" applyFill="1" applyBorder="1" applyAlignment="1">
      <alignment horizontal="left" vertical="center" wrapText="1"/>
    </xf>
    <xf numFmtId="184" fontId="16" fillId="0" borderId="6" xfId="0" applyNumberFormat="1" applyFont="1" applyFill="1" applyBorder="1" applyAlignment="1">
      <alignment horizontal="left" vertical="center" wrapText="1"/>
    </xf>
    <xf numFmtId="184" fontId="16" fillId="0" borderId="1" xfId="0" applyNumberFormat="1" applyFont="1" applyFill="1" applyBorder="1" applyAlignment="1">
      <alignment horizontal="left" vertical="center" wrapText="1"/>
    </xf>
    <xf numFmtId="184" fontId="16" fillId="0" borderId="0" xfId="0" applyNumberFormat="1" applyFont="1" applyFill="1" applyBorder="1" applyAlignment="1">
      <alignment horizontal="left" vertical="center" wrapText="1"/>
    </xf>
    <xf numFmtId="184" fontId="16" fillId="0" borderId="9" xfId="0" applyNumberFormat="1" applyFont="1" applyFill="1" applyBorder="1" applyAlignment="1">
      <alignment horizontal="left" vertical="center" wrapText="1"/>
    </xf>
    <xf numFmtId="184" fontId="16" fillId="0" borderId="2" xfId="0" applyNumberFormat="1" applyFont="1" applyFill="1" applyBorder="1" applyAlignment="1">
      <alignment horizontal="left" vertical="center" wrapText="1"/>
    </xf>
    <xf numFmtId="184" fontId="16" fillId="0" borderId="3" xfId="0" applyNumberFormat="1" applyFont="1" applyFill="1" applyBorder="1" applyAlignment="1">
      <alignment horizontal="left" vertical="center" wrapText="1"/>
    </xf>
    <xf numFmtId="184" fontId="16" fillId="0" borderId="12" xfId="0" applyNumberFormat="1" applyFont="1" applyFill="1" applyBorder="1" applyAlignment="1">
      <alignment horizontal="left" vertical="center" wrapText="1"/>
    </xf>
    <xf numFmtId="190" fontId="16" fillId="5" borderId="63" xfId="0" applyNumberFormat="1" applyFont="1" applyFill="1" applyBorder="1" applyAlignment="1">
      <alignment horizontal="center" vertical="center"/>
    </xf>
    <xf numFmtId="190" fontId="16" fillId="5" borderId="64" xfId="0" applyNumberFormat="1" applyFont="1" applyFill="1" applyBorder="1" applyAlignment="1">
      <alignment horizontal="center" vertical="center"/>
    </xf>
    <xf numFmtId="0" fontId="41" fillId="0" borderId="0" xfId="0" applyFont="1" applyAlignment="1">
      <alignment horizontal="right" wrapText="1"/>
    </xf>
    <xf numFmtId="0" fontId="46" fillId="0" borderId="0" xfId="0" applyFont="1" applyFill="1" applyBorder="1" applyAlignment="1">
      <alignment horizontal="right" vertical="center"/>
    </xf>
    <xf numFmtId="0" fontId="4" fillId="8" borderId="22" xfId="0" applyFont="1" applyFill="1" applyBorder="1" applyAlignment="1">
      <alignment horizontal="center" vertical="center"/>
    </xf>
    <xf numFmtId="0" fontId="4" fillId="8" borderId="0" xfId="0" applyFont="1" applyFill="1" applyBorder="1" applyAlignment="1">
      <alignment horizontal="center" vertical="center"/>
    </xf>
    <xf numFmtId="0" fontId="32" fillId="0" borderId="0" xfId="0" applyFont="1" applyFill="1" applyBorder="1" applyAlignment="1">
      <alignment horizontal="right" vertical="center"/>
    </xf>
    <xf numFmtId="0" fontId="32" fillId="0" borderId="49" xfId="0" applyFont="1" applyFill="1" applyBorder="1" applyAlignment="1">
      <alignment horizontal="right" vertical="center"/>
    </xf>
    <xf numFmtId="0" fontId="15" fillId="5" borderId="7" xfId="0" applyFont="1" applyFill="1" applyBorder="1" applyAlignment="1">
      <alignment horizontal="center" vertical="center"/>
    </xf>
    <xf numFmtId="0" fontId="15" fillId="5" borderId="33" xfId="0" applyFont="1" applyFill="1" applyBorder="1" applyAlignment="1">
      <alignment horizontal="center" vertical="center"/>
    </xf>
    <xf numFmtId="0" fontId="15" fillId="5" borderId="19" xfId="0" applyFont="1" applyFill="1" applyBorder="1" applyAlignment="1">
      <alignment horizontal="center" vertical="center"/>
    </xf>
    <xf numFmtId="0" fontId="41" fillId="0" borderId="0" xfId="0" applyFont="1" applyAlignment="1">
      <alignment horizontal="right"/>
    </xf>
    <xf numFmtId="0" fontId="4" fillId="8" borderId="21" xfId="0" applyFont="1" applyFill="1" applyBorder="1" applyAlignment="1">
      <alignment horizontal="center" vertical="center"/>
    </xf>
    <xf numFmtId="0" fontId="4" fillId="8" borderId="18" xfId="0" applyFont="1" applyFill="1" applyBorder="1" applyAlignment="1">
      <alignment horizontal="center" vertical="center"/>
    </xf>
    <xf numFmtId="0" fontId="29" fillId="8" borderId="56" xfId="0" applyFont="1" applyFill="1" applyBorder="1" applyAlignment="1"/>
    <xf numFmtId="0" fontId="4" fillId="8" borderId="57" xfId="0" applyFont="1" applyFill="1" applyBorder="1" applyAlignment="1">
      <alignment horizontal="center" vertical="center"/>
    </xf>
    <xf numFmtId="0" fontId="4" fillId="8" borderId="23" xfId="0" applyFont="1" applyFill="1" applyBorder="1" applyAlignment="1">
      <alignment horizontal="center" vertical="center"/>
    </xf>
    <xf numFmtId="0" fontId="29" fillId="8" borderId="58" xfId="0" applyFont="1" applyFill="1" applyBorder="1" applyAlignment="1"/>
    <xf numFmtId="0" fontId="16" fillId="2" borderId="29" xfId="0" applyFont="1" applyFill="1" applyBorder="1" applyAlignment="1">
      <alignment horizontal="left" vertical="center"/>
    </xf>
    <xf numFmtId="0" fontId="16" fillId="2" borderId="7" xfId="0" applyFont="1" applyFill="1" applyBorder="1" applyAlignment="1">
      <alignment horizontal="left" vertical="center"/>
    </xf>
    <xf numFmtId="0" fontId="16" fillId="2" borderId="37" xfId="0" applyFont="1" applyFill="1" applyBorder="1" applyAlignment="1">
      <alignment horizontal="left" vertical="center"/>
    </xf>
    <xf numFmtId="0" fontId="16" fillId="2" borderId="20" xfId="0" applyFont="1" applyFill="1" applyBorder="1" applyAlignment="1">
      <alignment horizontal="left" vertical="center"/>
    </xf>
    <xf numFmtId="0" fontId="36" fillId="6" borderId="66" xfId="0" applyFont="1" applyFill="1" applyBorder="1" applyAlignment="1">
      <alignment horizontal="left"/>
    </xf>
    <xf numFmtId="0" fontId="36" fillId="6" borderId="67" xfId="0" applyFont="1" applyFill="1" applyBorder="1" applyAlignment="1">
      <alignment horizontal="left"/>
    </xf>
    <xf numFmtId="0" fontId="16" fillId="4" borderId="54"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25" fillId="13" borderId="5" xfId="0" applyFont="1" applyFill="1" applyBorder="1" applyAlignment="1">
      <alignment horizontal="center" vertical="center"/>
    </xf>
    <xf numFmtId="0" fontId="25" fillId="13" borderId="4" xfId="0" applyFont="1" applyFill="1" applyBorder="1" applyAlignment="1">
      <alignment horizontal="center" vertical="center"/>
    </xf>
    <xf numFmtId="0" fontId="25" fillId="13" borderId="1" xfId="0" applyFont="1" applyFill="1" applyBorder="1" applyAlignment="1">
      <alignment horizontal="center" vertical="center"/>
    </xf>
    <xf numFmtId="0" fontId="25" fillId="13" borderId="0" xfId="0" applyFont="1" applyFill="1" applyBorder="1" applyAlignment="1">
      <alignment horizontal="center" vertical="center"/>
    </xf>
    <xf numFmtId="0" fontId="36" fillId="6" borderId="54" xfId="0" applyFont="1" applyFill="1" applyBorder="1" applyAlignment="1">
      <alignment horizontal="center" wrapText="1"/>
    </xf>
    <xf numFmtId="0" fontId="36" fillId="6" borderId="18" xfId="0" applyFont="1" applyFill="1" applyBorder="1" applyAlignment="1">
      <alignment horizontal="center" wrapText="1"/>
    </xf>
    <xf numFmtId="0" fontId="36" fillId="6" borderId="56" xfId="0" applyFont="1" applyFill="1" applyBorder="1" applyAlignment="1">
      <alignment horizontal="center" wrapText="1"/>
    </xf>
    <xf numFmtId="0" fontId="36" fillId="6" borderId="2" xfId="0" applyFont="1" applyFill="1" applyBorder="1" applyAlignment="1">
      <alignment horizontal="center" wrapText="1"/>
    </xf>
    <xf numFmtId="0" fontId="36" fillId="6" borderId="3" xfId="0" applyFont="1" applyFill="1" applyBorder="1" applyAlignment="1">
      <alignment horizontal="center" wrapText="1"/>
    </xf>
    <xf numFmtId="0" fontId="36" fillId="6" borderId="68" xfId="0" applyFont="1" applyFill="1" applyBorder="1" applyAlignment="1">
      <alignment horizontal="center" wrapText="1"/>
    </xf>
    <xf numFmtId="0" fontId="2" fillId="2" borderId="29"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29" xfId="0" applyFont="1" applyFill="1" applyBorder="1" applyAlignment="1">
      <alignment horizontal="left" vertical="center" wrapText="1"/>
    </xf>
    <xf numFmtId="0" fontId="36" fillId="6" borderId="54" xfId="0" applyFont="1" applyFill="1" applyBorder="1" applyAlignment="1">
      <alignment horizontal="center" vertical="center" wrapText="1"/>
    </xf>
    <xf numFmtId="0" fontId="36" fillId="6" borderId="18" xfId="0" applyFont="1" applyFill="1" applyBorder="1" applyAlignment="1">
      <alignment horizontal="center" vertical="center" wrapText="1"/>
    </xf>
    <xf numFmtId="0" fontId="36" fillId="6" borderId="56" xfId="0" applyFont="1" applyFill="1" applyBorder="1" applyAlignment="1">
      <alignment horizontal="center" vertical="center" wrapText="1"/>
    </xf>
    <xf numFmtId="0" fontId="36" fillId="6" borderId="2" xfId="0" applyFont="1" applyFill="1" applyBorder="1" applyAlignment="1">
      <alignment horizontal="center" vertical="center" wrapText="1"/>
    </xf>
    <xf numFmtId="0" fontId="36" fillId="6" borderId="3" xfId="0" applyFont="1" applyFill="1" applyBorder="1" applyAlignment="1">
      <alignment horizontal="center" vertical="center" wrapText="1"/>
    </xf>
    <xf numFmtId="0" fontId="36" fillId="6" borderId="68"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16" fillId="4" borderId="7" xfId="0" applyFont="1" applyFill="1" applyBorder="1" applyAlignment="1">
      <alignment vertical="center"/>
    </xf>
    <xf numFmtId="0" fontId="12" fillId="2" borderId="59" xfId="0" applyFont="1" applyFill="1" applyBorder="1" applyAlignment="1">
      <alignment horizontal="center"/>
    </xf>
    <xf numFmtId="0" fontId="12" fillId="2" borderId="67" xfId="0" applyFont="1" applyFill="1" applyBorder="1" applyAlignment="1">
      <alignment horizontal="center"/>
    </xf>
    <xf numFmtId="0" fontId="12" fillId="2" borderId="71" xfId="0" applyFont="1" applyFill="1" applyBorder="1" applyAlignment="1">
      <alignment horizontal="center"/>
    </xf>
    <xf numFmtId="0" fontId="12" fillId="2" borderId="1" xfId="0" applyFont="1" applyFill="1" applyBorder="1" applyAlignment="1">
      <alignment horizontal="center"/>
    </xf>
    <xf numFmtId="0" fontId="12" fillId="2" borderId="0" xfId="0" applyFont="1" applyFill="1" applyBorder="1" applyAlignment="1">
      <alignment horizontal="center"/>
    </xf>
    <xf numFmtId="0" fontId="0" fillId="7" borderId="5" xfId="0" applyFill="1" applyBorder="1" applyAlignment="1">
      <alignment horizontal="center" vertical="center"/>
    </xf>
    <xf numFmtId="0" fontId="0" fillId="7" borderId="4" xfId="0" applyFill="1" applyBorder="1" applyAlignment="1">
      <alignment horizontal="center" vertical="center"/>
    </xf>
    <xf numFmtId="0" fontId="0" fillId="7" borderId="6" xfId="0" applyFill="1" applyBorder="1" applyAlignment="1">
      <alignment horizontal="center" vertical="center"/>
    </xf>
    <xf numFmtId="0" fontId="0" fillId="7" borderId="39" xfId="0" applyFill="1" applyBorder="1" applyAlignment="1">
      <alignment horizontal="center" vertical="center"/>
    </xf>
    <xf numFmtId="0" fontId="0" fillId="7" borderId="23" xfId="0" applyFill="1" applyBorder="1" applyAlignment="1">
      <alignment horizontal="center" vertical="center"/>
    </xf>
    <xf numFmtId="0" fontId="0" fillId="7" borderId="24" xfId="0" applyFill="1" applyBorder="1" applyAlignment="1">
      <alignment horizontal="center" vertical="center"/>
    </xf>
    <xf numFmtId="0" fontId="0" fillId="0" borderId="41" xfId="0" applyBorder="1" applyAlignment="1">
      <alignment horizontal="center"/>
    </xf>
    <xf numFmtId="0" fontId="0" fillId="0" borderId="19" xfId="0" applyBorder="1" applyAlignment="1">
      <alignment horizontal="center"/>
    </xf>
    <xf numFmtId="0" fontId="0" fillId="0" borderId="29" xfId="0" applyBorder="1" applyAlignment="1">
      <alignment horizontal="center"/>
    </xf>
    <xf numFmtId="0" fontId="0" fillId="0" borderId="7" xfId="0" applyBorder="1" applyAlignment="1">
      <alignment horizontal="center"/>
    </xf>
    <xf numFmtId="0" fontId="69" fillId="15" borderId="0" xfId="1" applyFont="1" applyAlignment="1">
      <alignment horizontal="center" vertical="center" wrapText="1"/>
    </xf>
    <xf numFmtId="0" fontId="28" fillId="13" borderId="5" xfId="0" applyFont="1" applyFill="1" applyBorder="1" applyAlignment="1">
      <alignment horizontal="center" vertical="center"/>
    </xf>
    <xf numFmtId="0" fontId="28" fillId="13" borderId="4" xfId="0" applyFont="1" applyFill="1" applyBorder="1" applyAlignment="1">
      <alignment horizontal="center" vertical="center"/>
    </xf>
    <xf numFmtId="0" fontId="28" fillId="13" borderId="6" xfId="0" applyFont="1" applyFill="1" applyBorder="1" applyAlignment="1">
      <alignment horizontal="center" vertical="center"/>
    </xf>
    <xf numFmtId="0" fontId="0" fillId="0" borderId="32" xfId="0" applyBorder="1" applyAlignment="1">
      <alignment horizontal="center"/>
    </xf>
    <xf numFmtId="0" fontId="0" fillId="0" borderId="11" xfId="0" applyBorder="1" applyAlignment="1">
      <alignment horizontal="center"/>
    </xf>
    <xf numFmtId="0" fontId="0" fillId="6" borderId="55" xfId="0" applyFill="1" applyBorder="1" applyAlignment="1">
      <alignment horizontal="center"/>
    </xf>
    <xf numFmtId="0" fontId="0" fillId="6" borderId="70" xfId="0" applyFill="1" applyBorder="1" applyAlignment="1">
      <alignment horizontal="center"/>
    </xf>
    <xf numFmtId="0" fontId="0" fillId="6" borderId="65" xfId="0" applyFill="1" applyBorder="1" applyAlignment="1">
      <alignment horizontal="center"/>
    </xf>
    <xf numFmtId="0" fontId="27" fillId="6" borderId="7" xfId="0" applyFont="1" applyFill="1" applyBorder="1" applyAlignment="1">
      <alignment horizontal="left"/>
    </xf>
    <xf numFmtId="0" fontId="36" fillId="6" borderId="7" xfId="0" applyFont="1" applyFill="1" applyBorder="1" applyAlignment="1">
      <alignment horizontal="left"/>
    </xf>
    <xf numFmtId="0" fontId="0" fillId="6" borderId="5" xfId="0" applyFill="1" applyBorder="1" applyAlignment="1">
      <alignment horizontal="center" vertical="center"/>
    </xf>
    <xf numFmtId="0" fontId="0" fillId="6" borderId="4" xfId="0" applyFill="1" applyBorder="1" applyAlignment="1">
      <alignment horizontal="center" vertical="center"/>
    </xf>
    <xf numFmtId="0" fontId="0" fillId="6" borderId="6" xfId="0" applyFill="1" applyBorder="1" applyAlignment="1">
      <alignment horizontal="center" vertical="center"/>
    </xf>
    <xf numFmtId="0" fontId="0" fillId="6" borderId="39" xfId="0" applyFill="1" applyBorder="1" applyAlignment="1">
      <alignment horizontal="center" vertical="center"/>
    </xf>
    <xf numFmtId="0" fontId="0" fillId="6" borderId="23" xfId="0" applyFill="1" applyBorder="1" applyAlignment="1">
      <alignment horizontal="center" vertical="center"/>
    </xf>
    <xf numFmtId="0" fontId="0" fillId="6" borderId="24" xfId="0" applyFill="1" applyBorder="1" applyAlignment="1">
      <alignment horizontal="center" vertical="center"/>
    </xf>
    <xf numFmtId="0" fontId="12" fillId="4" borderId="3" xfId="0" applyFont="1" applyFill="1" applyBorder="1" applyAlignment="1">
      <alignment horizontal="center" wrapText="1"/>
    </xf>
    <xf numFmtId="0" fontId="12" fillId="2" borderId="7" xfId="0" applyFont="1" applyFill="1" applyBorder="1" applyAlignment="1">
      <alignment horizontal="center"/>
    </xf>
    <xf numFmtId="0" fontId="12" fillId="4" borderId="69" xfId="0" applyFont="1" applyFill="1" applyBorder="1" applyAlignment="1">
      <alignment horizontal="center" wrapText="1"/>
    </xf>
    <xf numFmtId="0" fontId="27" fillId="6" borderId="33" xfId="0" applyFont="1" applyFill="1" applyBorder="1" applyAlignment="1">
      <alignment horizontal="left"/>
    </xf>
    <xf numFmtId="0" fontId="27" fillId="6" borderId="43" xfId="0" applyFont="1" applyFill="1" applyBorder="1" applyAlignment="1">
      <alignment horizontal="left"/>
    </xf>
    <xf numFmtId="0" fontId="27" fillId="6" borderId="19" xfId="0" applyFont="1" applyFill="1" applyBorder="1" applyAlignment="1">
      <alignment horizontal="left"/>
    </xf>
    <xf numFmtId="0" fontId="0" fillId="7" borderId="55" xfId="0" applyFill="1" applyBorder="1" applyAlignment="1">
      <alignment horizontal="center" wrapText="1"/>
    </xf>
    <xf numFmtId="0" fontId="0" fillId="7" borderId="70" xfId="0" applyFill="1" applyBorder="1" applyAlignment="1">
      <alignment horizontal="center" wrapText="1"/>
    </xf>
    <xf numFmtId="0" fontId="0" fillId="7" borderId="65" xfId="0" applyFill="1" applyBorder="1" applyAlignment="1">
      <alignment horizontal="center" wrapText="1"/>
    </xf>
    <xf numFmtId="0" fontId="16" fillId="0" borderId="29" xfId="0" applyFont="1" applyBorder="1" applyAlignment="1">
      <alignment horizontal="center" wrapText="1"/>
    </xf>
    <xf numFmtId="0" fontId="0" fillId="0" borderId="7" xfId="0" applyBorder="1" applyAlignment="1">
      <alignment horizontal="center" wrapText="1"/>
    </xf>
    <xf numFmtId="0" fontId="0" fillId="0" borderId="32" xfId="0" applyBorder="1" applyAlignment="1">
      <alignment horizontal="center" wrapText="1"/>
    </xf>
    <xf numFmtId="0" fontId="0" fillId="0" borderId="11" xfId="0" applyBorder="1" applyAlignment="1">
      <alignment horizontal="center" wrapText="1"/>
    </xf>
    <xf numFmtId="0" fontId="16" fillId="0" borderId="29" xfId="0" applyFont="1" applyBorder="1" applyAlignment="1">
      <alignment horizontal="center"/>
    </xf>
    <xf numFmtId="0" fontId="0" fillId="6" borderId="8" xfId="0" applyFill="1" applyBorder="1" applyAlignment="1">
      <alignment horizontal="center"/>
    </xf>
    <xf numFmtId="0" fontId="0" fillId="6" borderId="13" xfId="0" applyFill="1" applyBorder="1" applyAlignment="1">
      <alignment horizontal="center"/>
    </xf>
    <xf numFmtId="0" fontId="0" fillId="0" borderId="41" xfId="0" applyBorder="1" applyAlignment="1">
      <alignment horizontal="left"/>
    </xf>
    <xf numFmtId="0" fontId="0" fillId="0" borderId="19" xfId="0" applyBorder="1" applyAlignment="1">
      <alignment horizontal="left"/>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16" fillId="0" borderId="0" xfId="0" applyFont="1" applyAlignment="1">
      <alignment horizontal="center" wrapText="1"/>
    </xf>
    <xf numFmtId="179" fontId="0" fillId="7" borderId="8" xfId="0" applyNumberFormat="1" applyFill="1" applyBorder="1" applyAlignment="1">
      <alignment horizontal="center"/>
    </xf>
    <xf numFmtId="179" fontId="0" fillId="7" borderId="13" xfId="0" applyNumberFormat="1" applyFill="1" applyBorder="1" applyAlignment="1">
      <alignment horizontal="center"/>
    </xf>
    <xf numFmtId="0" fontId="25" fillId="13" borderId="6" xfId="0" applyFont="1" applyFill="1" applyBorder="1" applyAlignment="1">
      <alignment horizontal="center" vertical="center"/>
    </xf>
    <xf numFmtId="0" fontId="28" fillId="13" borderId="1" xfId="0" applyFont="1" applyFill="1" applyBorder="1" applyAlignment="1">
      <alignment horizontal="center" vertical="center"/>
    </xf>
    <xf numFmtId="0" fontId="28" fillId="13" borderId="0" xfId="0" applyFont="1" applyFill="1" applyBorder="1" applyAlignment="1">
      <alignment horizontal="center" vertical="center"/>
    </xf>
    <xf numFmtId="0" fontId="0" fillId="7" borderId="55" xfId="0" applyFill="1" applyBorder="1" applyAlignment="1">
      <alignment horizontal="center"/>
    </xf>
    <xf numFmtId="0" fontId="0" fillId="7" borderId="70" xfId="0" applyFill="1" applyBorder="1" applyAlignment="1">
      <alignment horizontal="center"/>
    </xf>
    <xf numFmtId="0" fontId="0" fillId="7" borderId="65" xfId="0" applyFill="1" applyBorder="1" applyAlignment="1">
      <alignment horizontal="center"/>
    </xf>
    <xf numFmtId="0" fontId="16" fillId="0" borderId="20"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43" xfId="0" applyBorder="1" applyAlignment="1">
      <alignment horizontal="center"/>
    </xf>
    <xf numFmtId="0" fontId="0" fillId="0" borderId="29" xfId="0" applyBorder="1" applyAlignment="1">
      <alignment horizontal="center" wrapText="1"/>
    </xf>
    <xf numFmtId="0" fontId="2" fillId="0" borderId="41" xfId="0" applyFont="1" applyBorder="1" applyAlignment="1">
      <alignment horizontal="center"/>
    </xf>
    <xf numFmtId="177" fontId="16" fillId="32" borderId="20" xfId="0" applyNumberFormat="1" applyFont="1" applyFill="1" applyBorder="1" applyAlignment="1" applyProtection="1">
      <alignment horizontal="center" vertical="center" wrapText="1"/>
      <protection hidden="1"/>
    </xf>
    <xf numFmtId="177" fontId="16" fillId="2" borderId="34" xfId="0" applyNumberFormat="1" applyFont="1" applyFill="1" applyBorder="1" applyAlignment="1" applyProtection="1">
      <alignment horizontal="center" vertical="center" wrapText="1"/>
      <protection hidden="1"/>
    </xf>
    <xf numFmtId="177" fontId="16" fillId="2" borderId="10" xfId="0" applyNumberFormat="1" applyFont="1" applyFill="1" applyBorder="1" applyAlignment="1" applyProtection="1">
      <alignment horizontal="center" vertical="center" wrapText="1"/>
      <protection hidden="1"/>
    </xf>
    <xf numFmtId="177" fontId="26" fillId="0" borderId="18" xfId="0" applyNumberFormat="1" applyFont="1" applyFill="1" applyBorder="1" applyAlignment="1" applyProtection="1">
      <alignment horizontal="center" vertical="center" wrapText="1"/>
      <protection hidden="1"/>
    </xf>
    <xf numFmtId="177" fontId="26" fillId="0" borderId="56" xfId="0" applyNumberFormat="1" applyFont="1" applyFill="1" applyBorder="1" applyAlignment="1" applyProtection="1">
      <alignment horizontal="center" vertical="center" wrapText="1"/>
      <protection hidden="1"/>
    </xf>
    <xf numFmtId="177" fontId="26" fillId="0" borderId="0" xfId="0" applyNumberFormat="1" applyFont="1" applyFill="1" applyBorder="1" applyAlignment="1" applyProtection="1">
      <alignment horizontal="center" vertical="center" wrapText="1"/>
      <protection hidden="1"/>
    </xf>
    <xf numFmtId="177" fontId="26" fillId="0" borderId="49" xfId="0" applyNumberFormat="1" applyFont="1" applyFill="1" applyBorder="1" applyAlignment="1" applyProtection="1">
      <alignment horizontal="center" vertical="center" wrapText="1"/>
      <protection hidden="1"/>
    </xf>
    <xf numFmtId="177" fontId="26" fillId="0" borderId="23" xfId="0" applyNumberFormat="1" applyFont="1" applyFill="1" applyBorder="1" applyAlignment="1" applyProtection="1">
      <alignment horizontal="center" vertical="center" wrapText="1"/>
      <protection hidden="1"/>
    </xf>
    <xf numFmtId="177" fontId="26" fillId="0" borderId="58" xfId="0" applyNumberFormat="1" applyFont="1" applyFill="1" applyBorder="1" applyAlignment="1" applyProtection="1">
      <alignment horizontal="center" vertical="center" wrapText="1"/>
      <protection hidden="1"/>
    </xf>
    <xf numFmtId="0" fontId="16" fillId="0" borderId="37" xfId="0" applyFont="1" applyFill="1" applyBorder="1" applyAlignment="1" applyProtection="1">
      <alignment horizontal="center" vertical="center" wrapText="1"/>
      <protection hidden="1"/>
    </xf>
    <xf numFmtId="0" fontId="16" fillId="0" borderId="36" xfId="0" applyFont="1" applyFill="1" applyBorder="1" applyAlignment="1" applyProtection="1">
      <alignment horizontal="center" vertical="center" wrapText="1"/>
      <protection hidden="1"/>
    </xf>
    <xf numFmtId="0" fontId="16" fillId="0" borderId="30" xfId="0" applyFont="1" applyFill="1" applyBorder="1" applyAlignment="1" applyProtection="1">
      <alignment horizontal="center" vertical="center" wrapText="1"/>
      <protection hidden="1"/>
    </xf>
    <xf numFmtId="0" fontId="0" fillId="6" borderId="55" xfId="0" applyFill="1" applyBorder="1" applyAlignment="1">
      <alignment horizontal="center" vertical="center"/>
    </xf>
    <xf numFmtId="0" fontId="0" fillId="6" borderId="70" xfId="0" applyFill="1" applyBorder="1" applyAlignment="1">
      <alignment horizontal="center" vertical="center"/>
    </xf>
    <xf numFmtId="0" fontId="0" fillId="6" borderId="65" xfId="0" applyFill="1" applyBorder="1" applyAlignment="1">
      <alignment horizontal="center" vertical="center"/>
    </xf>
    <xf numFmtId="0" fontId="0" fillId="0" borderId="71" xfId="0" applyBorder="1" applyAlignment="1">
      <alignment horizontal="center"/>
    </xf>
    <xf numFmtId="0" fontId="0" fillId="0" borderId="37" xfId="0" applyBorder="1" applyAlignment="1">
      <alignment horizontal="center"/>
    </xf>
    <xf numFmtId="0" fontId="0" fillId="0" borderId="56" xfId="0" applyBorder="1" applyAlignment="1">
      <alignment horizontal="center"/>
    </xf>
    <xf numFmtId="0" fontId="0" fillId="0" borderId="2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25" fillId="13" borderId="22" xfId="0" applyFont="1" applyFill="1" applyBorder="1" applyAlignment="1" applyProtection="1">
      <alignment horizontal="center" vertical="center" wrapText="1"/>
      <protection hidden="1"/>
    </xf>
    <xf numFmtId="0" fontId="25" fillId="31" borderId="0" xfId="0" applyFont="1" applyFill="1" applyBorder="1" applyAlignment="1" applyProtection="1">
      <alignment horizontal="center" vertical="center" wrapText="1"/>
      <protection hidden="1"/>
    </xf>
    <xf numFmtId="0" fontId="16" fillId="0" borderId="29" xfId="0" applyFont="1" applyFill="1" applyBorder="1" applyAlignment="1" applyProtection="1">
      <alignment horizontal="center" vertical="center" wrapText="1"/>
      <protection hidden="1"/>
    </xf>
    <xf numFmtId="0" fontId="27" fillId="6" borderId="7" xfId="0" applyFont="1" applyFill="1" applyBorder="1" applyAlignment="1">
      <alignment horizontal="left" vertical="center" wrapText="1"/>
    </xf>
    <xf numFmtId="198" fontId="0" fillId="6" borderId="8" xfId="0" applyNumberFormat="1" applyFill="1" applyBorder="1" applyAlignment="1">
      <alignment horizontal="center" vertical="center"/>
    </xf>
    <xf numFmtId="198" fontId="0" fillId="6" borderId="13" xfId="0" applyNumberFormat="1" applyFill="1" applyBorder="1" applyAlignment="1">
      <alignment horizontal="center" vertical="center"/>
    </xf>
    <xf numFmtId="0" fontId="0" fillId="0" borderId="1" xfId="0" applyFill="1"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21" fillId="0" borderId="5" xfId="0" applyFont="1" applyBorder="1" applyAlignment="1">
      <alignment horizontal="center" vertical="center"/>
    </xf>
    <xf numFmtId="0" fontId="21" fillId="0" borderId="4"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0" fontId="21" fillId="0" borderId="0" xfId="0" applyFont="1" applyBorder="1" applyAlignment="1">
      <alignment horizontal="center" vertical="center"/>
    </xf>
    <xf numFmtId="0" fontId="21" fillId="0" borderId="9"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12" xfId="0" applyFont="1" applyBorder="1" applyAlignment="1">
      <alignment horizontal="center" vertical="center"/>
    </xf>
    <xf numFmtId="0" fontId="2" fillId="6" borderId="54" xfId="0" applyFont="1" applyFill="1" applyBorder="1" applyAlignment="1">
      <alignment horizontal="center" vertical="center" wrapText="1"/>
    </xf>
    <xf numFmtId="0" fontId="0" fillId="6" borderId="18" xfId="0" applyFill="1" applyBorder="1" applyAlignment="1">
      <alignment horizontal="center" vertical="center" wrapText="1"/>
    </xf>
    <xf numFmtId="0" fontId="0" fillId="6" borderId="56" xfId="0" applyFill="1" applyBorder="1" applyAlignment="1">
      <alignment horizontal="center" vertical="center" wrapText="1"/>
    </xf>
    <xf numFmtId="0" fontId="0" fillId="6" borderId="1" xfId="0" applyFill="1" applyBorder="1" applyAlignment="1">
      <alignment horizontal="center" vertical="center" wrapText="1"/>
    </xf>
    <xf numFmtId="0" fontId="0" fillId="6" borderId="0"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23" xfId="0" applyFill="1" applyBorder="1" applyAlignment="1">
      <alignment horizontal="center" vertical="center" wrapText="1"/>
    </xf>
    <xf numFmtId="0" fontId="0" fillId="6" borderId="58" xfId="0" applyFill="1" applyBorder="1" applyAlignment="1">
      <alignment horizontal="center" vertical="center" wrapText="1"/>
    </xf>
    <xf numFmtId="0" fontId="2" fillId="6" borderId="19" xfId="0" applyFont="1" applyFill="1" applyBorder="1" applyAlignment="1">
      <alignment horizontal="center" vertical="center" wrapText="1"/>
    </xf>
    <xf numFmtId="0" fontId="0" fillId="6" borderId="7" xfId="0" applyFill="1" applyBorder="1" applyAlignment="1">
      <alignment horizontal="center" vertical="center" wrapText="1"/>
    </xf>
    <xf numFmtId="0" fontId="0" fillId="6" borderId="19" xfId="0" applyFill="1" applyBorder="1" applyAlignment="1">
      <alignment horizontal="center" vertical="center" wrapText="1"/>
    </xf>
    <xf numFmtId="0" fontId="27" fillId="28" borderId="21" xfId="0" applyFont="1" applyFill="1" applyBorder="1" applyAlignment="1">
      <alignment horizontal="center"/>
    </xf>
    <xf numFmtId="0" fontId="27" fillId="28" borderId="18" xfId="0" applyFont="1" applyFill="1" applyBorder="1" applyAlignment="1">
      <alignment horizontal="center"/>
    </xf>
    <xf numFmtId="0" fontId="27" fillId="28" borderId="56" xfId="0" applyFont="1" applyFill="1" applyBorder="1" applyAlignment="1">
      <alignment horizontal="center"/>
    </xf>
    <xf numFmtId="0" fontId="16" fillId="0" borderId="5" xfId="0" applyFont="1" applyBorder="1" applyAlignment="1">
      <alignment horizontal="center" wrapText="1"/>
    </xf>
    <xf numFmtId="0" fontId="0" fillId="0" borderId="4" xfId="0" applyBorder="1" applyAlignment="1">
      <alignment horizontal="center" wrapText="1"/>
    </xf>
    <xf numFmtId="0" fontId="0" fillId="0" borderId="6"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12" xfId="0" applyBorder="1" applyAlignment="1">
      <alignment horizontal="center" wrapText="1"/>
    </xf>
    <xf numFmtId="0" fontId="49" fillId="15" borderId="22" xfId="1" applyBorder="1" applyAlignment="1">
      <alignment horizontal="center" vertical="center" wrapText="1"/>
    </xf>
    <xf numFmtId="0" fontId="49" fillId="15" borderId="0" xfId="1" applyBorder="1" applyAlignment="1">
      <alignment horizontal="center" vertical="center" wrapText="1"/>
    </xf>
    <xf numFmtId="0" fontId="49" fillId="15" borderId="9" xfId="1" applyBorder="1" applyAlignment="1">
      <alignment horizontal="center" vertical="center" wrapText="1"/>
    </xf>
    <xf numFmtId="0" fontId="27" fillId="6" borderId="21" xfId="0" applyFont="1" applyFill="1" applyBorder="1" applyAlignment="1">
      <alignment horizontal="left" wrapText="1"/>
    </xf>
    <xf numFmtId="0" fontId="27" fillId="6" borderId="18" xfId="0" applyFont="1" applyFill="1" applyBorder="1" applyAlignment="1">
      <alignment horizontal="left" wrapText="1"/>
    </xf>
    <xf numFmtId="0" fontId="27" fillId="6" borderId="56" xfId="0" applyFont="1" applyFill="1" applyBorder="1" applyAlignment="1">
      <alignment horizontal="left" wrapText="1"/>
    </xf>
    <xf numFmtId="0" fontId="27" fillId="6" borderId="57" xfId="0" applyFont="1" applyFill="1" applyBorder="1" applyAlignment="1">
      <alignment horizontal="left" wrapText="1"/>
    </xf>
    <xf numFmtId="0" fontId="27" fillId="6" borderId="23" xfId="0" applyFont="1" applyFill="1" applyBorder="1" applyAlignment="1">
      <alignment horizontal="left" wrapText="1"/>
    </xf>
    <xf numFmtId="0" fontId="27" fillId="6" borderId="58" xfId="0" applyFont="1" applyFill="1" applyBorder="1" applyAlignment="1">
      <alignment horizontal="left" wrapText="1"/>
    </xf>
    <xf numFmtId="0" fontId="27" fillId="6" borderId="33" xfId="0" applyFont="1" applyFill="1" applyBorder="1" applyAlignment="1">
      <alignment horizontal="center" wrapText="1"/>
    </xf>
    <xf numFmtId="0" fontId="27" fillId="6" borderId="43" xfId="0" applyFont="1" applyFill="1" applyBorder="1" applyAlignment="1">
      <alignment horizontal="center" wrapText="1"/>
    </xf>
    <xf numFmtId="0" fontId="27" fillId="6" borderId="19" xfId="0" applyFont="1" applyFill="1" applyBorder="1" applyAlignment="1">
      <alignment horizontal="center" wrapText="1"/>
    </xf>
    <xf numFmtId="0" fontId="0" fillId="0" borderId="54" xfId="0" applyBorder="1" applyAlignment="1">
      <alignment horizontal="center" wrapText="1"/>
    </xf>
    <xf numFmtId="0" fontId="0" fillId="0" borderId="18" xfId="0" applyBorder="1" applyAlignment="1">
      <alignment horizontal="center" wrapText="1"/>
    </xf>
    <xf numFmtId="0" fontId="0" fillId="0" borderId="56" xfId="0" applyBorder="1" applyAlignment="1">
      <alignment horizontal="center" wrapText="1"/>
    </xf>
    <xf numFmtId="0" fontId="0" fillId="0" borderId="68" xfId="0" applyBorder="1" applyAlignment="1">
      <alignment horizontal="center" wrapText="1"/>
    </xf>
    <xf numFmtId="0" fontId="27" fillId="0" borderId="0" xfId="0" applyFont="1" applyFill="1" applyBorder="1" applyAlignment="1">
      <alignment horizontal="left"/>
    </xf>
    <xf numFmtId="0" fontId="23" fillId="6" borderId="7" xfId="0" applyFont="1" applyFill="1" applyBorder="1" applyAlignment="1">
      <alignment horizontal="center"/>
    </xf>
    <xf numFmtId="0" fontId="23" fillId="0" borderId="0" xfId="0" applyFont="1" applyFill="1" applyBorder="1" applyAlignment="1">
      <alignment horizontal="left"/>
    </xf>
    <xf numFmtId="0" fontId="2" fillId="6" borderId="29" xfId="0" applyFont="1" applyFill="1" applyBorder="1" applyAlignment="1">
      <alignment horizontal="center" vertical="center" wrapText="1"/>
    </xf>
    <xf numFmtId="0" fontId="0" fillId="6" borderId="29" xfId="0" applyFill="1" applyBorder="1" applyAlignment="1">
      <alignment horizontal="center" vertical="center" wrapText="1"/>
    </xf>
    <xf numFmtId="0" fontId="0" fillId="0" borderId="54" xfId="0" applyBorder="1" applyAlignment="1">
      <alignment horizontal="center"/>
    </xf>
    <xf numFmtId="0" fontId="0" fillId="0" borderId="18" xfId="0" applyBorder="1" applyAlignment="1">
      <alignment horizontal="center"/>
    </xf>
    <xf numFmtId="0" fontId="16" fillId="0" borderId="43" xfId="0" applyFont="1" applyBorder="1" applyAlignment="1">
      <alignment horizontal="center"/>
    </xf>
    <xf numFmtId="0" fontId="16" fillId="0" borderId="19" xfId="0" applyFont="1" applyBorder="1" applyAlignment="1">
      <alignment horizontal="center"/>
    </xf>
    <xf numFmtId="0" fontId="0" fillId="28" borderId="41" xfId="0" applyFill="1" applyBorder="1" applyAlignment="1">
      <alignment horizontal="center"/>
    </xf>
    <xf numFmtId="0" fontId="0" fillId="28" borderId="43" xfId="0" applyFill="1" applyBorder="1" applyAlignment="1">
      <alignment horizontal="center"/>
    </xf>
    <xf numFmtId="0" fontId="16" fillId="0" borderId="41" xfId="0" applyFont="1" applyBorder="1" applyAlignment="1">
      <alignment horizontal="center"/>
    </xf>
    <xf numFmtId="0" fontId="0" fillId="0" borderId="29" xfId="0" applyFill="1" applyBorder="1" applyAlignment="1">
      <alignment horizontal="center"/>
    </xf>
    <xf numFmtId="0" fontId="0" fillId="0" borderId="19" xfId="0" applyFill="1" applyBorder="1" applyAlignment="1">
      <alignment horizontal="center"/>
    </xf>
    <xf numFmtId="0" fontId="0" fillId="0" borderId="33" xfId="0" applyFill="1" applyBorder="1" applyAlignment="1">
      <alignment horizontal="center"/>
    </xf>
    <xf numFmtId="0" fontId="16" fillId="0" borderId="37"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0" fillId="0" borderId="34" xfId="0" applyFill="1" applyBorder="1" applyAlignment="1">
      <alignment horizontal="center" vertical="center" wrapText="1"/>
    </xf>
    <xf numFmtId="0" fontId="25" fillId="13" borderId="3" xfId="0" applyFont="1" applyFill="1" applyBorder="1" applyAlignment="1" applyProtection="1">
      <alignment horizontal="center" vertical="center" wrapText="1"/>
      <protection hidden="1"/>
    </xf>
    <xf numFmtId="0" fontId="61" fillId="38" borderId="7" xfId="3" applyFont="1" applyFill="1" applyBorder="1" applyAlignment="1">
      <alignment horizontal="center"/>
    </xf>
    <xf numFmtId="0" fontId="0" fillId="6" borderId="21" xfId="0" applyFill="1" applyBorder="1" applyAlignment="1">
      <alignment horizontal="center" vertical="center" wrapText="1"/>
    </xf>
    <xf numFmtId="0" fontId="0" fillId="6" borderId="57" xfId="0" applyFill="1" applyBorder="1" applyAlignment="1">
      <alignment horizontal="center" vertical="center" wrapText="1"/>
    </xf>
    <xf numFmtId="0" fontId="0" fillId="6" borderId="5"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27" fillId="6" borderId="33" xfId="0" applyFont="1" applyFill="1" applyBorder="1" applyAlignment="1">
      <alignment horizontal="left" vertical="center" wrapText="1"/>
    </xf>
    <xf numFmtId="0" fontId="27" fillId="6" borderId="43" xfId="0" applyFont="1" applyFill="1" applyBorder="1" applyAlignment="1">
      <alignment horizontal="left" vertical="center" wrapText="1"/>
    </xf>
    <xf numFmtId="0" fontId="27" fillId="6" borderId="19" xfId="0" applyFont="1" applyFill="1" applyBorder="1" applyAlignment="1">
      <alignment horizontal="left" vertical="center" wrapText="1"/>
    </xf>
    <xf numFmtId="0" fontId="0" fillId="0" borderId="66" xfId="0" applyBorder="1" applyAlignment="1">
      <alignment horizontal="center"/>
    </xf>
    <xf numFmtId="0" fontId="0" fillId="0" borderId="67" xfId="0" applyBorder="1" applyAlignment="1">
      <alignment horizontal="center"/>
    </xf>
    <xf numFmtId="0" fontId="0" fillId="29" borderId="7" xfId="0" applyFill="1" applyBorder="1" applyAlignment="1">
      <alignment horizontal="center" wrapText="1"/>
    </xf>
    <xf numFmtId="0" fontId="22" fillId="6" borderId="7" xfId="0" applyFont="1" applyFill="1" applyBorder="1" applyAlignment="1">
      <alignment horizontal="center"/>
    </xf>
    <xf numFmtId="0" fontId="0" fillId="6" borderId="22" xfId="0" applyFill="1" applyBorder="1" applyAlignment="1">
      <alignment horizontal="center" vertical="center" wrapText="1"/>
    </xf>
    <xf numFmtId="0" fontId="2" fillId="29" borderId="7" xfId="0" applyFont="1" applyFill="1" applyBorder="1" applyAlignment="1">
      <alignment horizontal="center" wrapText="1"/>
    </xf>
    <xf numFmtId="0" fontId="2" fillId="0" borderId="29" xfId="0" applyFont="1" applyBorder="1" applyAlignment="1">
      <alignment horizontal="center" wrapText="1"/>
    </xf>
    <xf numFmtId="0" fontId="2" fillId="0" borderId="7" xfId="0" applyFont="1" applyBorder="1" applyAlignment="1">
      <alignment horizontal="center" wrapText="1"/>
    </xf>
    <xf numFmtId="0" fontId="2" fillId="0" borderId="32" xfId="0" applyFont="1" applyBorder="1" applyAlignment="1">
      <alignment horizontal="center" wrapText="1"/>
    </xf>
    <xf numFmtId="0" fontId="2" fillId="0" borderId="11" xfId="0" applyFont="1" applyBorder="1" applyAlignment="1">
      <alignment horizontal="center" wrapText="1"/>
    </xf>
    <xf numFmtId="0" fontId="75" fillId="0" borderId="93" xfId="0" applyFont="1" applyBorder="1" applyAlignment="1">
      <alignment horizontal="center" wrapText="1"/>
    </xf>
    <xf numFmtId="0" fontId="75" fillId="0" borderId="44" xfId="0" applyFont="1" applyBorder="1" applyAlignment="1">
      <alignment horizontal="center" wrapText="1"/>
    </xf>
    <xf numFmtId="0" fontId="77" fillId="0" borderId="101" xfId="0" applyFont="1" applyBorder="1" applyAlignment="1">
      <alignment horizontal="center" wrapText="1"/>
    </xf>
    <xf numFmtId="0" fontId="77" fillId="0" borderId="100" xfId="0" applyFont="1" applyBorder="1" applyAlignment="1">
      <alignment horizontal="center" wrapText="1"/>
    </xf>
    <xf numFmtId="0" fontId="0" fillId="0" borderId="80" xfId="0" applyBorder="1" applyAlignment="1">
      <alignment horizontal="center" wrapText="1"/>
    </xf>
    <xf numFmtId="0" fontId="0" fillId="0" borderId="81" xfId="0" applyBorder="1" applyAlignment="1">
      <alignment horizontal="center" wrapText="1"/>
    </xf>
    <xf numFmtId="0" fontId="2" fillId="0" borderId="85" xfId="0" applyFont="1" applyBorder="1" applyAlignment="1">
      <alignment horizontal="center" wrapText="1"/>
    </xf>
    <xf numFmtId="0" fontId="2" fillId="0" borderId="91" xfId="0" applyFont="1" applyBorder="1" applyAlignment="1">
      <alignment horizontal="center" wrapText="1"/>
    </xf>
    <xf numFmtId="0" fontId="73" fillId="0" borderId="92" xfId="0" quotePrefix="1" applyFont="1" applyBorder="1" applyAlignment="1">
      <alignment horizontal="center" wrapText="1"/>
    </xf>
    <xf numFmtId="0" fontId="73" fillId="0" borderId="52" xfId="0" quotePrefix="1" applyFont="1" applyBorder="1" applyAlignment="1">
      <alignment horizontal="center" wrapText="1"/>
    </xf>
    <xf numFmtId="0" fontId="75" fillId="0" borderId="92" xfId="0" quotePrefix="1" applyFont="1" applyBorder="1" applyAlignment="1">
      <alignment horizontal="center" wrapText="1"/>
    </xf>
    <xf numFmtId="0" fontId="75" fillId="0" borderId="52" xfId="0" quotePrefix="1" applyFont="1" applyBorder="1" applyAlignment="1">
      <alignment horizontal="center" wrapText="1"/>
    </xf>
    <xf numFmtId="0" fontId="2" fillId="0" borderId="92" xfId="0" applyFont="1" applyBorder="1" applyAlignment="1">
      <alignment horizontal="center" vertical="center" wrapText="1"/>
    </xf>
    <xf numFmtId="0" fontId="2" fillId="0" borderId="52" xfId="0" applyFont="1" applyBorder="1" applyAlignment="1">
      <alignment horizontal="center" vertical="center" wrapText="1"/>
    </xf>
    <xf numFmtId="0" fontId="61" fillId="17" borderId="7" xfId="3" applyFont="1" applyBorder="1" applyAlignment="1">
      <alignment horizontal="center"/>
    </xf>
    <xf numFmtId="0" fontId="2" fillId="0" borderId="22" xfId="0" applyFont="1" applyBorder="1" applyAlignment="1">
      <alignment horizontal="left"/>
    </xf>
    <xf numFmtId="0" fontId="2" fillId="0" borderId="0" xfId="0" applyFont="1" applyBorder="1" applyAlignment="1">
      <alignment horizontal="left"/>
    </xf>
    <xf numFmtId="0" fontId="2" fillId="29" borderId="33" xfId="0" applyNumberFormat="1" applyFont="1" applyFill="1" applyBorder="1" applyAlignment="1">
      <alignment horizontal="left"/>
    </xf>
    <xf numFmtId="0" fontId="0" fillId="29" borderId="43" xfId="0" applyNumberFormat="1" applyFill="1" applyBorder="1" applyAlignment="1">
      <alignment horizontal="left"/>
    </xf>
    <xf numFmtId="0" fontId="0" fillId="29" borderId="19" xfId="0" applyNumberFormat="1" applyFill="1" applyBorder="1" applyAlignment="1">
      <alignment horizontal="left"/>
    </xf>
    <xf numFmtId="0" fontId="16" fillId="0" borderId="7" xfId="0" applyFont="1" applyBorder="1" applyAlignment="1">
      <alignment horizontal="center" wrapText="1"/>
    </xf>
    <xf numFmtId="0" fontId="16" fillId="0" borderId="7" xfId="0" applyFont="1" applyBorder="1" applyAlignment="1">
      <alignment horizontal="center"/>
    </xf>
    <xf numFmtId="0" fontId="0" fillId="0" borderId="0" xfId="0" applyAlignment="1">
      <alignment horizontal="left" wrapText="1"/>
    </xf>
    <xf numFmtId="0" fontId="23" fillId="0" borderId="0" xfId="0" applyFont="1" applyAlignment="1">
      <alignment horizontal="center"/>
    </xf>
    <xf numFmtId="0" fontId="22" fillId="0" borderId="0" xfId="0" applyFont="1" applyAlignment="1">
      <alignment horizontal="left"/>
    </xf>
    <xf numFmtId="0" fontId="0" fillId="0" borderId="0" xfId="0" applyAlignment="1">
      <alignment horizontal="left"/>
    </xf>
    <xf numFmtId="0" fontId="0" fillId="0" borderId="0" xfId="0" applyNumberFormat="1" applyAlignment="1">
      <alignment horizontal="left"/>
    </xf>
    <xf numFmtId="0" fontId="35" fillId="0" borderId="0" xfId="0" applyFont="1" applyAlignment="1">
      <alignment horizontal="center"/>
    </xf>
    <xf numFmtId="0" fontId="23" fillId="0" borderId="0" xfId="0" applyFont="1" applyAlignment="1">
      <alignment horizontal="left"/>
    </xf>
    <xf numFmtId="0" fontId="0" fillId="0" borderId="0" xfId="0" applyAlignment="1">
      <alignment horizontal="center"/>
    </xf>
    <xf numFmtId="0" fontId="22" fillId="0" borderId="0" xfId="0" applyFont="1" applyAlignment="1"/>
    <xf numFmtId="0" fontId="0" fillId="0" borderId="55" xfId="0" applyBorder="1" applyAlignment="1">
      <alignment horizontal="center"/>
    </xf>
    <xf numFmtId="0" fontId="0" fillId="0" borderId="65" xfId="0" applyBorder="1" applyAlignment="1">
      <alignment horizontal="center"/>
    </xf>
    <xf numFmtId="0" fontId="16" fillId="0" borderId="14" xfId="0" applyFont="1" applyBorder="1" applyAlignment="1">
      <alignment horizontal="center"/>
    </xf>
    <xf numFmtId="0" fontId="16" fillId="0" borderId="55" xfId="0" applyFont="1" applyBorder="1" applyAlignment="1">
      <alignment horizontal="center" wrapText="1"/>
    </xf>
    <xf numFmtId="0" fontId="16" fillId="0" borderId="65" xfId="0" applyFont="1" applyBorder="1" applyAlignment="1">
      <alignment horizontal="center" wrapText="1"/>
    </xf>
    <xf numFmtId="0" fontId="16" fillId="0" borderId="0" xfId="0" applyFont="1" applyAlignment="1">
      <alignment horizontal="center"/>
    </xf>
    <xf numFmtId="180" fontId="16" fillId="0" borderId="72" xfId="7" quotePrefix="1" applyNumberFormat="1" applyFont="1" applyBorder="1" applyAlignment="1">
      <alignment horizontal="center" wrapText="1"/>
    </xf>
    <xf numFmtId="180" fontId="16" fillId="0" borderId="73" xfId="7" quotePrefix="1" applyNumberFormat="1" applyFont="1" applyBorder="1" applyAlignment="1">
      <alignment horizontal="center" wrapText="1"/>
    </xf>
    <xf numFmtId="180" fontId="16" fillId="0" borderId="73" xfId="7" applyNumberFormat="1" applyFont="1" applyBorder="1" applyAlignment="1">
      <alignment horizontal="center" wrapText="1"/>
    </xf>
    <xf numFmtId="180" fontId="16" fillId="0" borderId="74" xfId="7" applyNumberFormat="1" applyFont="1" applyBorder="1" applyAlignment="1">
      <alignment horizontal="center" wrapText="1"/>
    </xf>
    <xf numFmtId="0" fontId="45" fillId="0" borderId="0" xfId="0" applyFont="1" applyAlignment="1">
      <alignment horizontal="center" vertical="center" textRotation="90" wrapText="1"/>
    </xf>
    <xf numFmtId="0" fontId="0" fillId="39" borderId="22" xfId="0" applyFill="1" applyBorder="1" applyAlignment="1">
      <alignment horizontal="right"/>
    </xf>
    <xf numFmtId="0" fontId="0" fillId="39" borderId="0" xfId="0" applyFill="1" applyBorder="1" applyAlignment="1">
      <alignment horizontal="right"/>
    </xf>
    <xf numFmtId="0" fontId="16" fillId="40" borderId="57" xfId="0" applyFont="1" applyFill="1" applyBorder="1" applyAlignment="1">
      <alignment horizontal="right"/>
    </xf>
    <xf numFmtId="0" fontId="0" fillId="40" borderId="23" xfId="0" applyFill="1" applyBorder="1" applyAlignment="1">
      <alignment horizontal="right"/>
    </xf>
    <xf numFmtId="0" fontId="16" fillId="0" borderId="33" xfId="0" applyFont="1" applyBorder="1" applyAlignment="1">
      <alignment horizontal="center"/>
    </xf>
    <xf numFmtId="0" fontId="0" fillId="41" borderId="22" xfId="0" applyFill="1" applyBorder="1" applyAlignment="1">
      <alignment horizontal="right"/>
    </xf>
    <xf numFmtId="0" fontId="0" fillId="41" borderId="0" xfId="0" applyFill="1" applyBorder="1" applyAlignment="1">
      <alignment horizontal="right"/>
    </xf>
    <xf numFmtId="0" fontId="16" fillId="42" borderId="57" xfId="0" applyFont="1" applyFill="1" applyBorder="1" applyAlignment="1">
      <alignment horizontal="right"/>
    </xf>
    <xf numFmtId="0" fontId="0" fillId="42" borderId="23" xfId="0" applyFill="1" applyBorder="1" applyAlignment="1">
      <alignment horizontal="right"/>
    </xf>
    <xf numFmtId="0" fontId="0" fillId="0" borderId="7" xfId="0" applyBorder="1" applyAlignment="1">
      <alignment horizontal="center" vertical="center" wrapText="1"/>
    </xf>
  </cellXfs>
  <cellStyles count="11">
    <cellStyle name="Normal 2" xfId="4"/>
    <cellStyle name="Normal 21" xfId="9"/>
    <cellStyle name="Normal 3" xfId="5"/>
    <cellStyle name="Normal_temo 2" xfId="8"/>
    <cellStyle name="Percent 2" xfId="7"/>
    <cellStyle name="一般" xfId="0" builtinId="0"/>
    <cellStyle name="一般 2" xfId="10"/>
    <cellStyle name="好" xfId="3" builtinId="26"/>
    <cellStyle name="百分比" xfId="6" builtinId="5"/>
    <cellStyle name="計算方式" xfId="2" builtinId="22"/>
    <cellStyle name="壞" xfId="1" builtinId="27"/>
  </cellStyles>
  <dxfs count="117">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78"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180"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80" formatCode="0.0%"/>
      <alignment horizontal="center" vertical="bottom" textRotation="0" wrapText="1" indent="0" relativeIndent="0" justifyLastLine="0" shrinkToFit="0" readingOrder="0"/>
    </dxf>
    <dxf>
      <numFmt numFmtId="1" formatCode="0"/>
      <alignment horizontal="center" vertical="bottom" textRotation="0" wrapText="1" indent="0" relativeIndent="255" justifyLastLine="0" shrinkToFit="0" readingOrder="0"/>
    </dxf>
    <dxf>
      <numFmt numFmtId="13" formatCode="0%"/>
      <alignment horizontal="center" vertical="bottom" textRotation="0" wrapText="1" indent="0" relativeIndent="0" justifyLastLine="0" shrinkToFit="0" readingOrder="0"/>
    </dxf>
    <dxf>
      <border outline="0">
        <left style="double">
          <color indexed="64"/>
        </left>
        <right style="double">
          <color indexed="64"/>
        </right>
        <bottom style="double">
          <color indexed="64"/>
        </bottom>
      </border>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78"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180"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80" formatCode="0.0%"/>
      <alignment horizontal="center" vertical="bottom" textRotation="0" wrapText="1" indent="0" relativeIndent="0" justifyLastLine="0" shrinkToFit="0" readingOrder="0"/>
    </dxf>
    <dxf>
      <numFmt numFmtId="2" formatCode="0.00"/>
      <alignment horizontal="center" vertical="bottom" textRotation="0" wrapText="1" indent="0" relativeIndent="255" justifyLastLine="0" shrinkToFit="0" readingOrder="0"/>
    </dxf>
    <dxf>
      <numFmt numFmtId="13" formatCode="0%"/>
      <alignment horizontal="center" vertical="bottom" textRotation="0" wrapText="1" indent="0" relativeIndent="0" justifyLastLine="0" shrinkToFit="0" readingOrder="0"/>
    </dxf>
    <dxf>
      <border outline="0">
        <left style="double">
          <color indexed="64"/>
        </left>
        <right style="double">
          <color indexed="64"/>
        </right>
        <bottom style="double">
          <color indexed="64"/>
        </bottom>
      </border>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78"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180"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80" formatCode="0.0%"/>
      <alignment horizontal="center" vertical="bottom" textRotation="0" wrapText="1" indent="0" relativeIndent="0" justifyLastLine="0" shrinkToFit="0" readingOrder="0"/>
    </dxf>
    <dxf>
      <numFmt numFmtId="2" formatCode="0.00"/>
      <alignment horizontal="center" vertical="bottom" textRotation="0" wrapText="1" indent="0" relativeIndent="255" justifyLastLine="0" shrinkToFit="0" readingOrder="0"/>
    </dxf>
    <dxf>
      <numFmt numFmtId="13" formatCode="0%"/>
      <alignment horizontal="center" vertical="bottom" textRotation="0" wrapText="1" indent="0" relativeIndent="0" justifyLastLine="0" shrinkToFit="0" readingOrder="0"/>
    </dxf>
    <dxf>
      <border outline="0">
        <left style="double">
          <color indexed="64"/>
        </left>
        <right style="double">
          <color indexed="64"/>
        </right>
        <bottom style="double">
          <color indexed="64"/>
        </bottom>
      </border>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78"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2" formatCode="0.00"/>
      <alignment horizontal="center" vertical="bottom" textRotation="0" wrapText="1" indent="0" relativeIndent="255" justifyLastLine="0" shrinkToFit="0" readingOrder="0"/>
    </dxf>
    <dxf>
      <font>
        <b val="0"/>
        <i val="0"/>
        <strike val="0"/>
        <condense val="0"/>
        <extend val="0"/>
        <outline val="0"/>
        <shadow val="0"/>
        <u val="none"/>
        <vertAlign val="baseline"/>
        <sz val="10"/>
        <color auto="1"/>
        <name val="Arial"/>
        <scheme val="none"/>
      </font>
      <numFmt numFmtId="180" formatCode="0.0%"/>
      <alignment horizontal="center" vertical="bottom" textRotation="0" wrapText="1" indent="0" relativeIndent="255" justifyLastLine="0" shrinkToFit="0" readingOrder="0"/>
    </dxf>
    <dxf>
      <font>
        <b val="0"/>
        <i val="0"/>
        <strike val="0"/>
        <condense val="0"/>
        <extend val="0"/>
        <outline val="0"/>
        <shadow val="0"/>
        <u val="none"/>
        <vertAlign val="baseline"/>
        <sz val="11"/>
        <color theme="1"/>
        <name val="Calibri"/>
        <scheme val="minor"/>
      </font>
      <numFmt numFmtId="180" formatCode="0.0%"/>
      <alignment horizontal="center" vertical="bottom" textRotation="0" wrapText="1" indent="0" relativeIndent="0" justifyLastLine="0" shrinkToFit="0" readingOrder="0"/>
    </dxf>
    <dxf>
      <numFmt numFmtId="2" formatCode="0.00"/>
      <alignment horizontal="center" vertical="bottom" textRotation="0" wrapText="1" indent="0" relativeIndent="255" justifyLastLine="0" shrinkToFit="0" readingOrder="0"/>
    </dxf>
    <dxf>
      <numFmt numFmtId="13" formatCode="0%"/>
      <alignment horizontal="center" vertical="bottom" textRotation="0" wrapText="1" indent="0" relativeIndent="0" justifyLastLine="0" shrinkToFit="0" readingOrder="0"/>
    </dxf>
    <dxf>
      <border outline="0">
        <left style="double">
          <color indexed="64"/>
        </left>
        <right style="double">
          <color indexed="64"/>
        </right>
        <bottom style="double">
          <color indexed="64"/>
        </bottom>
      </border>
    </dxf>
    <dxf>
      <font>
        <strike val="0"/>
        <color rgb="FFFF0000"/>
      </font>
      <fill>
        <patternFill patternType="none">
          <bgColor indexed="65"/>
        </patternFill>
      </fill>
    </dxf>
    <dxf>
      <font>
        <color rgb="FF00B050"/>
      </font>
    </dxf>
    <dxf>
      <font>
        <strike val="0"/>
        <color rgb="FFFF0000"/>
      </font>
      <fill>
        <patternFill patternType="none">
          <bgColor indexed="65"/>
        </patternFill>
      </fill>
    </dxf>
    <dxf>
      <font>
        <color rgb="FF00B050"/>
      </font>
    </dxf>
    <dxf>
      <font>
        <strike val="0"/>
        <color rgb="FFFF0000"/>
      </font>
      <fill>
        <patternFill patternType="none">
          <bgColor indexed="65"/>
        </patternFill>
      </fill>
    </dxf>
    <dxf>
      <font>
        <color rgb="FF00B050"/>
      </font>
    </dxf>
    <dxf>
      <font>
        <strike val="0"/>
        <color rgb="FFFF0000"/>
      </font>
      <fill>
        <patternFill patternType="none">
          <bgColor indexed="65"/>
        </patternFill>
      </fill>
    </dxf>
    <dxf>
      <font>
        <color rgb="FF00B050"/>
      </font>
    </dxf>
    <dxf>
      <font>
        <strike val="0"/>
        <color rgb="FFFF0000"/>
      </font>
      <fill>
        <patternFill patternType="none">
          <bgColor indexed="65"/>
        </patternFill>
      </fill>
    </dxf>
    <dxf>
      <font>
        <color rgb="FF00B050"/>
      </font>
    </dxf>
    <dxf>
      <font>
        <strike val="0"/>
        <color rgb="FFFF0000"/>
      </font>
      <fill>
        <patternFill patternType="none">
          <bgColor indexed="65"/>
        </patternFill>
      </fill>
    </dxf>
    <dxf>
      <font>
        <color rgb="FF00B050"/>
      </font>
    </dxf>
    <dxf>
      <fill>
        <patternFill>
          <bgColor indexed="43"/>
        </patternFill>
      </fill>
    </dxf>
    <dxf>
      <fill>
        <patternFill>
          <bgColor indexed="10"/>
        </patternFill>
      </fill>
    </dxf>
    <dxf>
      <fill>
        <patternFill>
          <bgColor indexed="50"/>
        </patternFill>
      </fill>
    </dxf>
    <dxf>
      <fill>
        <patternFill>
          <bgColor indexed="43"/>
        </patternFill>
      </fill>
    </dxf>
    <dxf>
      <fill>
        <patternFill>
          <bgColor indexed="10"/>
        </patternFill>
      </fill>
    </dxf>
    <dxf>
      <fill>
        <patternFill>
          <bgColor indexed="50"/>
        </patternFill>
      </fill>
    </dxf>
    <dxf>
      <fill>
        <patternFill>
          <bgColor rgb="FF92D050"/>
        </patternFill>
      </fill>
    </dxf>
    <dxf>
      <fill>
        <patternFill>
          <bgColor rgb="FFFF0000"/>
        </patternFill>
      </fill>
    </dxf>
    <dxf>
      <fill>
        <patternFill>
          <bgColor indexed="43"/>
        </patternFill>
      </fill>
    </dxf>
    <dxf>
      <fill>
        <patternFill>
          <bgColor indexed="10"/>
        </patternFill>
      </fill>
    </dxf>
    <dxf>
      <fill>
        <patternFill>
          <bgColor indexed="50"/>
        </patternFill>
      </fill>
    </dxf>
    <dxf>
      <fill>
        <patternFill>
          <bgColor indexed="43"/>
        </patternFill>
      </fill>
    </dxf>
    <dxf>
      <fill>
        <patternFill>
          <bgColor indexed="10"/>
        </patternFill>
      </fill>
    </dxf>
    <dxf>
      <fill>
        <patternFill>
          <bgColor indexed="50"/>
        </patternFill>
      </fill>
    </dxf>
    <dxf>
      <fill>
        <patternFill>
          <bgColor indexed="43"/>
        </patternFill>
      </fill>
    </dxf>
    <dxf>
      <fill>
        <patternFill>
          <bgColor indexed="10"/>
        </patternFill>
      </fill>
    </dxf>
    <dxf>
      <fill>
        <patternFill>
          <bgColor indexed="50"/>
        </patternFill>
      </fill>
    </dxf>
    <dxf>
      <fill>
        <patternFill>
          <bgColor rgb="FFFF0000"/>
        </patternFill>
      </fill>
    </dxf>
    <dxf>
      <fill>
        <patternFill>
          <bgColor indexed="43"/>
        </patternFill>
      </fill>
    </dxf>
    <dxf>
      <fill>
        <patternFill>
          <bgColor indexed="10"/>
        </patternFill>
      </fill>
    </dxf>
    <dxf>
      <fill>
        <patternFill>
          <bgColor indexed="50"/>
        </patternFill>
      </fill>
    </dxf>
    <dxf>
      <fill>
        <patternFill>
          <bgColor indexed="10"/>
        </patternFill>
      </fill>
    </dxf>
    <dxf>
      <fill>
        <patternFill>
          <bgColor rgb="FF92D050"/>
        </patternFill>
      </fill>
    </dxf>
    <dxf>
      <fill>
        <patternFill>
          <bgColor indexed="10"/>
        </patternFill>
      </fill>
    </dxf>
    <dxf>
      <fill>
        <patternFill>
          <bgColor rgb="FF92D050"/>
        </patternFill>
      </fill>
    </dxf>
    <dxf>
      <fill>
        <patternFill>
          <bgColor indexed="50"/>
        </patternFill>
      </fill>
    </dxf>
    <dxf>
      <fill>
        <patternFill>
          <bgColor indexed="10"/>
        </patternFill>
      </fill>
    </dxf>
    <dxf>
      <font>
        <color rgb="FFFF0000"/>
      </font>
    </dxf>
    <dxf>
      <font>
        <color rgb="FFFF0000"/>
      </font>
    </dxf>
    <dxf>
      <font>
        <color rgb="FFFF0000"/>
      </font>
    </dxf>
    <dxf>
      <fill>
        <patternFill>
          <bgColor indexed="10"/>
        </patternFill>
      </fill>
    </dxf>
    <dxf>
      <fill>
        <patternFill>
          <bgColor rgb="FF92D050"/>
        </patternFill>
      </fill>
    </dxf>
    <dxf>
      <fill>
        <patternFill>
          <bgColor indexed="10"/>
        </patternFill>
      </fill>
    </dxf>
    <dxf>
      <fill>
        <patternFill>
          <bgColor rgb="FF92D050"/>
        </patternFill>
      </fill>
    </dxf>
    <dxf>
      <fill>
        <patternFill>
          <bgColor indexed="10"/>
        </patternFill>
      </fill>
    </dxf>
    <dxf>
      <fill>
        <patternFill>
          <bgColor rgb="FF92D050"/>
        </patternFill>
      </fill>
    </dxf>
    <dxf>
      <fill>
        <patternFill>
          <bgColor indexed="10"/>
        </patternFill>
      </fill>
    </dxf>
    <dxf>
      <fill>
        <patternFill>
          <bgColor rgb="FF92D050"/>
        </patternFill>
      </fill>
    </dxf>
    <dxf>
      <fill>
        <patternFill>
          <bgColor indexed="10"/>
        </patternFill>
      </fill>
    </dxf>
    <dxf>
      <fill>
        <patternFill>
          <bgColor rgb="FF92D050"/>
        </patternFill>
      </fill>
    </dxf>
    <dxf>
      <fill>
        <patternFill>
          <bgColor indexed="10"/>
        </patternFill>
      </fill>
    </dxf>
    <dxf>
      <fill>
        <patternFill>
          <bgColor rgb="FF92D050"/>
        </patternFill>
      </fill>
    </dxf>
    <dxf>
      <font>
        <color rgb="FF9C0006"/>
      </font>
      <fill>
        <patternFill>
          <bgColor rgb="FFFFC7CE"/>
        </patternFill>
      </fill>
    </dxf>
    <dxf>
      <fill>
        <patternFill>
          <bgColor indexed="10"/>
        </patternFill>
      </fill>
    </dxf>
    <dxf>
      <fill>
        <patternFill>
          <bgColor rgb="FF92D05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ont>
        <color rgb="FFFF0000"/>
      </font>
    </dxf>
    <dxf>
      <fill>
        <patternFill>
          <bgColor indexed="50"/>
        </patternFill>
      </fill>
    </dxf>
    <dxf>
      <fill>
        <patternFill>
          <bgColor indexed="10"/>
        </patternFill>
      </fill>
    </dxf>
    <dxf>
      <font>
        <color theme="0"/>
      </font>
      <fill>
        <patternFill>
          <bgColor rgb="FFFF0000"/>
        </patternFill>
      </fill>
    </dxf>
    <dxf>
      <font>
        <color theme="0"/>
      </font>
      <fill>
        <patternFill>
          <bgColor rgb="FF00B050"/>
        </patternFill>
      </fill>
    </dxf>
    <dxf>
      <fill>
        <patternFill>
          <bgColor indexed="50"/>
        </patternFill>
      </fill>
    </dxf>
    <dxf>
      <fill>
        <patternFill>
          <bgColor indexed="10"/>
        </patternFill>
      </fill>
    </dxf>
    <dxf>
      <font>
        <color theme="0"/>
      </font>
      <fill>
        <patternFill>
          <bgColor rgb="FF00B050"/>
        </patternFill>
      </fill>
    </dxf>
    <dxf>
      <font>
        <color theme="0"/>
      </font>
      <fill>
        <patternFill>
          <bgColor rgb="FFFF0000"/>
        </patternFill>
      </fill>
    </dxf>
  </dxfs>
  <tableStyles count="0" defaultTableStyle="TableStyleMedium9" defaultPivotStyle="PivotStyleLight16"/>
  <colors>
    <mruColors>
      <color rgb="FF00B0F0"/>
      <color rgb="FF00CCFF"/>
      <color rgb="FFFFFFFF"/>
      <color rgb="FFFFCC99"/>
      <color rgb="FFFFD5B4"/>
      <color rgb="FFFFCC00"/>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200" b="1" i="0" u="none" strike="noStrike" baseline="0">
                <a:solidFill>
                  <a:srgbClr val="000000"/>
                </a:solidFill>
                <a:latin typeface="Arial"/>
                <a:ea typeface="Arial"/>
                <a:cs typeface="Arial"/>
              </a:defRPr>
            </a:pPr>
            <a:r>
              <a:rPr lang="en-US"/>
              <a:t>Thermal Drift</a:t>
            </a:r>
          </a:p>
        </c:rich>
      </c:tx>
      <c:layout>
        <c:manualLayout>
          <c:xMode val="edge"/>
          <c:yMode val="edge"/>
          <c:x val="0.44173146762516124"/>
          <c:y val="1.9575927533773109E-2"/>
        </c:manualLayout>
      </c:layout>
      <c:spPr>
        <a:noFill/>
        <a:ln w="25400">
          <a:noFill/>
        </a:ln>
      </c:spPr>
    </c:title>
    <c:plotArea>
      <c:layout>
        <c:manualLayout>
          <c:layoutTarget val="inner"/>
          <c:xMode val="edge"/>
          <c:yMode val="edge"/>
          <c:x val="9.6559378468368692E-2"/>
          <c:y val="0.11419249592169668"/>
          <c:w val="0.89123196448390651"/>
          <c:h val="0.80097879282218665"/>
        </c:manualLayout>
      </c:layout>
      <c:scatterChart>
        <c:scatterStyle val="lineMarker"/>
        <c:ser>
          <c:idx val="0"/>
          <c:order val="0"/>
          <c:tx>
            <c:v>Thermal Drift limit</c:v>
          </c:tx>
          <c:spPr>
            <a:ln w="38100">
              <a:solidFill>
                <a:srgbClr val="FF0000"/>
              </a:solidFill>
              <a:prstDash val="solid"/>
            </a:ln>
          </c:spPr>
          <c:marker>
            <c:symbol val="none"/>
          </c:marker>
          <c:xVal>
            <c:strRef>
              <c:f>'Thermal Comp'!$F$12:$F$15</c:f>
              <c:strCache>
                <c:ptCount val="4"/>
                <c:pt idx="0">
                  <c:v>3 minutes</c:v>
                </c:pt>
                <c:pt idx="1">
                  <c:v>5 minutes</c:v>
                </c:pt>
                <c:pt idx="2">
                  <c:v>7 minutes</c:v>
                </c:pt>
                <c:pt idx="3">
                  <c:v>10 minutes</c:v>
                </c:pt>
              </c:strCache>
            </c:strRef>
          </c:xVal>
          <c:yVal>
            <c:numRef>
              <c:f>'Thermal Comp'!$C$12:$C$15</c:f>
              <c:numCache>
                <c:formatCode>0.000</c:formatCode>
                <c:ptCount val="4"/>
                <c:pt idx="0">
                  <c:v>0.81289999999999996</c:v>
                </c:pt>
                <c:pt idx="1">
                  <c:v>0.81289999999999996</c:v>
                </c:pt>
                <c:pt idx="2">
                  <c:v>0.81289999999999996</c:v>
                </c:pt>
                <c:pt idx="3">
                  <c:v>0.81289999999999996</c:v>
                </c:pt>
              </c:numCache>
            </c:numRef>
          </c:yVal>
          <c:extLst xmlns:c16r2="http://schemas.microsoft.com/office/drawing/2015/06/chart">
            <c:ext xmlns:c16="http://schemas.microsoft.com/office/drawing/2014/chart" uri="{C3380CC4-5D6E-409C-BE32-E72D297353CC}">
              <c16:uniqueId val="{00000000-3F56-4702-BF10-BF4E4261D756}"/>
            </c:ext>
          </c:extLst>
        </c:ser>
        <c:ser>
          <c:idx val="1"/>
          <c:order val="1"/>
          <c:tx>
            <c:v>Ideal (Nominal)</c:v>
          </c:tx>
          <c:spPr>
            <a:ln w="38100">
              <a:solidFill>
                <a:srgbClr val="000080"/>
              </a:solidFill>
              <a:prstDash val="lgDash"/>
            </a:ln>
          </c:spPr>
          <c:marker>
            <c:symbol val="none"/>
          </c:marker>
          <c:xVal>
            <c:strRef>
              <c:f>'Thermal Comp'!$F$12:$F$15</c:f>
              <c:strCache>
                <c:ptCount val="4"/>
                <c:pt idx="0">
                  <c:v>3 minutes</c:v>
                </c:pt>
                <c:pt idx="1">
                  <c:v>5 minutes</c:v>
                </c:pt>
                <c:pt idx="2">
                  <c:v>7 minutes</c:v>
                </c:pt>
                <c:pt idx="3">
                  <c:v>10 minutes</c:v>
                </c:pt>
              </c:strCache>
            </c:strRef>
          </c:xVal>
          <c:yVal>
            <c:numRef>
              <c:f>'Thermal Comp'!$B$12:$B$15</c:f>
              <c:numCache>
                <c:formatCode>0.0000_ </c:formatCode>
                <c:ptCount val="4"/>
                <c:pt idx="0">
                  <c:v>0.81589999999999996</c:v>
                </c:pt>
                <c:pt idx="1">
                  <c:v>0.81589999999999996</c:v>
                </c:pt>
                <c:pt idx="2">
                  <c:v>0.81589999999999996</c:v>
                </c:pt>
                <c:pt idx="3">
                  <c:v>0.81589999999999996</c:v>
                </c:pt>
              </c:numCache>
            </c:numRef>
          </c:yVal>
          <c:extLst xmlns:c16r2="http://schemas.microsoft.com/office/drawing/2015/06/chart">
            <c:ext xmlns:c16="http://schemas.microsoft.com/office/drawing/2014/chart" uri="{C3380CC4-5D6E-409C-BE32-E72D297353CC}">
              <c16:uniqueId val="{00000001-3F56-4702-BF10-BF4E4261D756}"/>
            </c:ext>
          </c:extLst>
        </c:ser>
        <c:ser>
          <c:idx val="2"/>
          <c:order val="2"/>
          <c:tx>
            <c:v>Thermal Drift Measured</c:v>
          </c:tx>
          <c:spPr>
            <a:ln w="12700">
              <a:solidFill>
                <a:srgbClr val="0070C0"/>
              </a:solidFill>
              <a:prstDash val="solid"/>
            </a:ln>
          </c:spPr>
          <c:marker>
            <c:symbol val="circle"/>
            <c:size val="5"/>
            <c:spPr>
              <a:solidFill>
                <a:srgbClr val="0070C0"/>
              </a:solidFill>
              <a:ln>
                <a:solidFill>
                  <a:srgbClr val="FFFF00"/>
                </a:solidFill>
                <a:prstDash val="solid"/>
              </a:ln>
            </c:spPr>
          </c:marker>
          <c:xVal>
            <c:strRef>
              <c:f>'Thermal Comp'!$F$12:$F$15</c:f>
              <c:strCache>
                <c:ptCount val="4"/>
                <c:pt idx="0">
                  <c:v>3 minutes</c:v>
                </c:pt>
                <c:pt idx="1">
                  <c:v>5 minutes</c:v>
                </c:pt>
                <c:pt idx="2">
                  <c:v>7 minutes</c:v>
                </c:pt>
                <c:pt idx="3">
                  <c:v>10 minutes</c:v>
                </c:pt>
              </c:strCache>
            </c:strRef>
          </c:xVal>
          <c:yVal>
            <c:numRef>
              <c:f>'Thermal Comp'!$G$12:$G$15</c:f>
              <c:numCache>
                <c:formatCode>0.0000_ </c:formatCode>
                <c:ptCount val="4"/>
                <c:pt idx="0">
                  <c:v>0.81589999999999996</c:v>
                </c:pt>
                <c:pt idx="1">
                  <c:v>0.81610000000000005</c:v>
                </c:pt>
                <c:pt idx="2">
                  <c:v>0.81620000000000004</c:v>
                </c:pt>
                <c:pt idx="3">
                  <c:v>0.81610000000000005</c:v>
                </c:pt>
              </c:numCache>
            </c:numRef>
          </c:yVal>
          <c:extLst xmlns:c16r2="http://schemas.microsoft.com/office/drawing/2015/06/chart">
            <c:ext xmlns:c16="http://schemas.microsoft.com/office/drawing/2014/chart" uri="{C3380CC4-5D6E-409C-BE32-E72D297353CC}">
              <c16:uniqueId val="{00000002-3F56-4702-BF10-BF4E4261D756}"/>
            </c:ext>
          </c:extLst>
        </c:ser>
        <c:ser>
          <c:idx val="3"/>
          <c:order val="3"/>
          <c:tx>
            <c:v>Thermal Drift Limit</c:v>
          </c:tx>
          <c:spPr>
            <a:ln w="38100">
              <a:solidFill>
                <a:srgbClr val="FF0000"/>
              </a:solidFill>
              <a:prstDash val="solid"/>
            </a:ln>
          </c:spPr>
          <c:marker>
            <c:symbol val="none"/>
          </c:marker>
          <c:xVal>
            <c:strRef>
              <c:f>'Thermal Comp'!$F$12:$F$15</c:f>
              <c:strCache>
                <c:ptCount val="4"/>
                <c:pt idx="0">
                  <c:v>3 minutes</c:v>
                </c:pt>
                <c:pt idx="1">
                  <c:v>5 minutes</c:v>
                </c:pt>
                <c:pt idx="2">
                  <c:v>7 minutes</c:v>
                </c:pt>
                <c:pt idx="3">
                  <c:v>10 minutes</c:v>
                </c:pt>
              </c:strCache>
            </c:strRef>
          </c:xVal>
          <c:yVal>
            <c:numRef>
              <c:f>'Thermal Comp'!$A$12:$A$15</c:f>
              <c:numCache>
                <c:formatCode>0.000</c:formatCode>
                <c:ptCount val="4"/>
                <c:pt idx="0">
                  <c:v>0.81889999999999996</c:v>
                </c:pt>
                <c:pt idx="1">
                  <c:v>0.81889999999999996</c:v>
                </c:pt>
                <c:pt idx="2">
                  <c:v>0.81889999999999996</c:v>
                </c:pt>
                <c:pt idx="3">
                  <c:v>0.81889999999999996</c:v>
                </c:pt>
              </c:numCache>
            </c:numRef>
          </c:yVal>
          <c:extLst xmlns:c16r2="http://schemas.microsoft.com/office/drawing/2015/06/chart">
            <c:ext xmlns:c16="http://schemas.microsoft.com/office/drawing/2014/chart" uri="{C3380CC4-5D6E-409C-BE32-E72D297353CC}">
              <c16:uniqueId val="{00000003-3F56-4702-BF10-BF4E4261D756}"/>
            </c:ext>
          </c:extLst>
        </c:ser>
        <c:axId val="90276608"/>
        <c:axId val="90278144"/>
      </c:scatterChart>
      <c:valAx>
        <c:axId val="90276608"/>
        <c:scaling>
          <c:orientation val="minMax"/>
        </c:scaling>
        <c:delete val="1"/>
        <c:axPos val="b"/>
        <c:tickLblPos val="none"/>
        <c:crossAx val="90278144"/>
        <c:crossesAt val="-6.0000000000000079E-3"/>
        <c:crossBetween val="midCat"/>
      </c:valAx>
      <c:valAx>
        <c:axId val="90278144"/>
        <c:scaling>
          <c:orientation val="minMax"/>
        </c:scaling>
        <c:axPos val="l"/>
        <c:majorGridlines>
          <c:spPr>
            <a:ln w="12700">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Output Voltage</a:t>
                </a:r>
              </a:p>
            </c:rich>
          </c:tx>
          <c:layout>
            <c:manualLayout>
              <c:xMode val="edge"/>
              <c:yMode val="edge"/>
              <c:x val="9.9889045840850822E-3"/>
              <c:y val="0.4339314524847892"/>
            </c:manualLayout>
          </c:layout>
          <c:spPr>
            <a:noFill/>
            <a:ln w="25400">
              <a:noFill/>
            </a:ln>
          </c:spPr>
        </c:title>
        <c:numFmt formatCode="0.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0276608"/>
        <c:crosses val="autoZero"/>
        <c:crossBetween val="midCat"/>
      </c:valAx>
      <c:spPr>
        <a:solidFill>
          <a:srgbClr val="FFFFFF"/>
        </a:solidFill>
        <a:ln w="12700">
          <a:solidFill>
            <a:srgbClr val="000000"/>
          </a:solidFill>
          <a:prstDash val="solid"/>
        </a:ln>
      </c:spPr>
    </c:plotArea>
    <c:legend>
      <c:legendPos val="r"/>
      <c:layout>
        <c:manualLayout>
          <c:xMode val="edge"/>
          <c:yMode val="edge"/>
          <c:x val="0.1634104185023057"/>
          <c:y val="2.2813688212927799E-2"/>
          <c:w val="0.19804629772077795"/>
          <c:h val="0.1368822956065853"/>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zh-TW"/>
        </a:p>
      </c:txPr>
    </c:legend>
    <c:plotVisOnly val="1"/>
    <c:dispBlanksAs val="gap"/>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zh-TW"/>
    </a:p>
  </c:txPr>
  <c:printSettings>
    <c:headerFooter/>
    <c:pageMargins b="0.75000000000000089" l="0.70000000000000062" r="0.70000000000000062" t="0.75000000000000089"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zh-TW"/>
  <c:chart>
    <c:plotArea>
      <c:layout>
        <c:manualLayout>
          <c:layoutTarget val="inner"/>
          <c:xMode val="edge"/>
          <c:yMode val="edge"/>
          <c:x val="0.20784086199751348"/>
          <c:y val="3.2007260324067824E-2"/>
          <c:w val="0.75177737236626963"/>
          <c:h val="0.86608996084511403"/>
        </c:manualLayout>
      </c:layout>
      <c:scatterChart>
        <c:scatterStyle val="smoothMarker"/>
        <c:ser>
          <c:idx val="0"/>
          <c:order val="0"/>
          <c:tx>
            <c:v>Positive Error Limit</c:v>
          </c:tx>
          <c:marker>
            <c:symbol val="none"/>
          </c:marker>
          <c:xVal>
            <c:numRef>
              <c:f>Psys!$A$7:$A$19</c:f>
              <c:numCache>
                <c:formatCode>0%</c:formatCode>
                <c:ptCount val="13"/>
                <c:pt idx="0">
                  <c:v>0.03</c:v>
                </c:pt>
                <c:pt idx="1">
                  <c:v>0.05</c:v>
                </c:pt>
                <c:pt idx="2">
                  <c:v>0.08</c:v>
                </c:pt>
                <c:pt idx="3">
                  <c:v>0.1</c:v>
                </c:pt>
                <c:pt idx="4">
                  <c:v>0.2</c:v>
                </c:pt>
                <c:pt idx="5">
                  <c:v>0.3</c:v>
                </c:pt>
                <c:pt idx="6">
                  <c:v>0.4</c:v>
                </c:pt>
                <c:pt idx="7">
                  <c:v>0.5</c:v>
                </c:pt>
                <c:pt idx="8">
                  <c:v>0.6</c:v>
                </c:pt>
                <c:pt idx="9">
                  <c:v>0.7</c:v>
                </c:pt>
                <c:pt idx="10">
                  <c:v>0.8</c:v>
                </c:pt>
                <c:pt idx="11">
                  <c:v>0.9</c:v>
                </c:pt>
                <c:pt idx="12">
                  <c:v>1</c:v>
                </c:pt>
              </c:numCache>
            </c:numRef>
          </c:xVal>
          <c:yVal>
            <c:numRef>
              <c:f>Psys!$C$7:$C$19</c:f>
              <c:numCache>
                <c:formatCode>0.0%</c:formatCode>
                <c:ptCount val="13"/>
                <c:pt idx="0">
                  <c:v>0.2</c:v>
                </c:pt>
                <c:pt idx="1">
                  <c:v>0.15</c:v>
                </c:pt>
                <c:pt idx="2">
                  <c:v>0.1</c:v>
                </c:pt>
                <c:pt idx="3">
                  <c:v>8.5000000000000006E-2</c:v>
                </c:pt>
                <c:pt idx="4">
                  <c:v>7.0000000000000007E-2</c:v>
                </c:pt>
                <c:pt idx="5">
                  <c:v>0.06</c:v>
                </c:pt>
                <c:pt idx="6">
                  <c:v>5.5E-2</c:v>
                </c:pt>
                <c:pt idx="7">
                  <c:v>5.3999999999999999E-2</c:v>
                </c:pt>
                <c:pt idx="8">
                  <c:v>5.2999999999999999E-2</c:v>
                </c:pt>
                <c:pt idx="9">
                  <c:v>5.1999999999999998E-2</c:v>
                </c:pt>
                <c:pt idx="10">
                  <c:v>0.05</c:v>
                </c:pt>
                <c:pt idx="11">
                  <c:v>0.05</c:v>
                </c:pt>
                <c:pt idx="12">
                  <c:v>0.05</c:v>
                </c:pt>
              </c:numCache>
            </c:numRef>
          </c:yVal>
          <c:smooth val="1"/>
          <c:extLst xmlns:c16r2="http://schemas.microsoft.com/office/drawing/2015/06/chart">
            <c:ext xmlns:c16="http://schemas.microsoft.com/office/drawing/2014/chart" uri="{C3380CC4-5D6E-409C-BE32-E72D297353CC}">
              <c16:uniqueId val="{00000000-5B06-4876-ABF9-4805CB031112}"/>
            </c:ext>
          </c:extLst>
        </c:ser>
        <c:ser>
          <c:idx val="1"/>
          <c:order val="1"/>
          <c:tx>
            <c:v>Negative Error Limit</c:v>
          </c:tx>
          <c:marker>
            <c:symbol val="none"/>
          </c:marker>
          <c:xVal>
            <c:numRef>
              <c:f>Psys!$A$7:$A$19</c:f>
              <c:numCache>
                <c:formatCode>0%</c:formatCode>
                <c:ptCount val="13"/>
                <c:pt idx="0">
                  <c:v>0.03</c:v>
                </c:pt>
                <c:pt idx="1">
                  <c:v>0.05</c:v>
                </c:pt>
                <c:pt idx="2">
                  <c:v>0.08</c:v>
                </c:pt>
                <c:pt idx="3">
                  <c:v>0.1</c:v>
                </c:pt>
                <c:pt idx="4">
                  <c:v>0.2</c:v>
                </c:pt>
                <c:pt idx="5">
                  <c:v>0.3</c:v>
                </c:pt>
                <c:pt idx="6">
                  <c:v>0.4</c:v>
                </c:pt>
                <c:pt idx="7">
                  <c:v>0.5</c:v>
                </c:pt>
                <c:pt idx="8">
                  <c:v>0.6</c:v>
                </c:pt>
                <c:pt idx="9">
                  <c:v>0.7</c:v>
                </c:pt>
                <c:pt idx="10">
                  <c:v>0.8</c:v>
                </c:pt>
                <c:pt idx="11">
                  <c:v>0.9</c:v>
                </c:pt>
                <c:pt idx="12">
                  <c:v>1</c:v>
                </c:pt>
              </c:numCache>
            </c:numRef>
          </c:xVal>
          <c:yVal>
            <c:numRef>
              <c:f>Psys!$D$7:$D$19</c:f>
              <c:numCache>
                <c:formatCode>0.0%</c:formatCode>
                <c:ptCount val="13"/>
                <c:pt idx="0">
                  <c:v>-0.2</c:v>
                </c:pt>
                <c:pt idx="1">
                  <c:v>-0.15</c:v>
                </c:pt>
                <c:pt idx="2">
                  <c:v>-0.1</c:v>
                </c:pt>
                <c:pt idx="3">
                  <c:v>-8.5000000000000006E-2</c:v>
                </c:pt>
                <c:pt idx="4">
                  <c:v>-7.0000000000000007E-2</c:v>
                </c:pt>
                <c:pt idx="5">
                  <c:v>-0.06</c:v>
                </c:pt>
                <c:pt idx="6">
                  <c:v>-5.5E-2</c:v>
                </c:pt>
                <c:pt idx="7">
                  <c:v>-5.3999999999999999E-2</c:v>
                </c:pt>
                <c:pt idx="8">
                  <c:v>-5.2999999999999999E-2</c:v>
                </c:pt>
                <c:pt idx="9">
                  <c:v>-5.1999999999999998E-2</c:v>
                </c:pt>
                <c:pt idx="10">
                  <c:v>-0.05</c:v>
                </c:pt>
                <c:pt idx="11">
                  <c:v>-0.05</c:v>
                </c:pt>
                <c:pt idx="12">
                  <c:v>-0.05</c:v>
                </c:pt>
              </c:numCache>
            </c:numRef>
          </c:yVal>
          <c:smooth val="1"/>
          <c:extLst xmlns:c16r2="http://schemas.microsoft.com/office/drawing/2015/06/chart">
            <c:ext xmlns:c16="http://schemas.microsoft.com/office/drawing/2014/chart" uri="{C3380CC4-5D6E-409C-BE32-E72D297353CC}">
              <c16:uniqueId val="{00000001-5B06-4876-ABF9-4805CB031112}"/>
            </c:ext>
          </c:extLst>
        </c:ser>
        <c:ser>
          <c:idx val="2"/>
          <c:order val="2"/>
          <c:tx>
            <c:v>Actual Error</c:v>
          </c:tx>
          <c:marker>
            <c:symbol val="none"/>
          </c:marker>
          <c:xVal>
            <c:numRef>
              <c:f>Psys!$A$7:$A$19</c:f>
              <c:numCache>
                <c:formatCode>0%</c:formatCode>
                <c:ptCount val="13"/>
                <c:pt idx="0">
                  <c:v>0.03</c:v>
                </c:pt>
                <c:pt idx="1">
                  <c:v>0.05</c:v>
                </c:pt>
                <c:pt idx="2">
                  <c:v>0.08</c:v>
                </c:pt>
                <c:pt idx="3">
                  <c:v>0.1</c:v>
                </c:pt>
                <c:pt idx="4">
                  <c:v>0.2</c:v>
                </c:pt>
                <c:pt idx="5">
                  <c:v>0.3</c:v>
                </c:pt>
                <c:pt idx="6">
                  <c:v>0.4</c:v>
                </c:pt>
                <c:pt idx="7">
                  <c:v>0.5</c:v>
                </c:pt>
                <c:pt idx="8">
                  <c:v>0.6</c:v>
                </c:pt>
                <c:pt idx="9">
                  <c:v>0.7</c:v>
                </c:pt>
                <c:pt idx="10">
                  <c:v>0.8</c:v>
                </c:pt>
                <c:pt idx="11">
                  <c:v>0.9</c:v>
                </c:pt>
                <c:pt idx="12">
                  <c:v>1</c:v>
                </c:pt>
              </c:numCache>
            </c:numRef>
          </c:xVal>
          <c:yVal>
            <c:numRef>
              <c:f>Psys!$E$7:$E$19</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1"/>
          <c:extLst xmlns:c16r2="http://schemas.microsoft.com/office/drawing/2015/06/chart">
            <c:ext xmlns:c16="http://schemas.microsoft.com/office/drawing/2014/chart" uri="{C3380CC4-5D6E-409C-BE32-E72D297353CC}">
              <c16:uniqueId val="{00000002-5B06-4876-ABF9-4805CB031112}"/>
            </c:ext>
          </c:extLst>
        </c:ser>
        <c:axId val="99187712"/>
        <c:axId val="99202176"/>
      </c:scatterChart>
      <c:valAx>
        <c:axId val="99187712"/>
        <c:scaling>
          <c:orientation val="minMax"/>
          <c:max val="1"/>
        </c:scaling>
        <c:axPos val="b"/>
        <c:title>
          <c:tx>
            <c:rich>
              <a:bodyPr/>
              <a:lstStyle/>
              <a:p>
                <a:pPr>
                  <a:defRPr sz="1000" b="1" i="0" u="none" strike="noStrike" baseline="0">
                    <a:solidFill>
                      <a:srgbClr val="000000"/>
                    </a:solidFill>
                    <a:latin typeface="Calibri"/>
                    <a:ea typeface="Calibri"/>
                    <a:cs typeface="Calibri"/>
                  </a:defRPr>
                </a:pPr>
                <a:r>
                  <a:rPr lang="en-US"/>
                  <a:t>%</a:t>
                </a:r>
                <a:r>
                  <a:rPr lang="en-US" baseline="0"/>
                  <a:t> of Pmax</a:t>
                </a:r>
              </a:p>
            </c:rich>
          </c:tx>
          <c:layout/>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9202176"/>
        <c:crosses val="autoZero"/>
        <c:crossBetween val="midCat"/>
      </c:valAx>
      <c:valAx>
        <c:axId val="99202176"/>
        <c:scaling>
          <c:orientation val="minMax"/>
          <c:max val="0.25"/>
          <c:min val="-0.25"/>
        </c:scaling>
        <c:axPos val="l"/>
        <c:majorGridlines/>
        <c:title>
          <c:tx>
            <c:rich>
              <a:bodyPr rot="0" vert="horz"/>
              <a:lstStyle/>
              <a:p>
                <a:pPr algn="ct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cs typeface="Calibri"/>
                  </a:rPr>
                  <a:t>% Error</a:t>
                </a:r>
              </a:p>
            </c:rich>
          </c:tx>
          <c:layout>
            <c:manualLayout>
              <c:xMode val="edge"/>
              <c:yMode val="edge"/>
              <c:x val="9.8789674708902958E-2"/>
              <c:y val="0.40286042942054251"/>
            </c:manualLayout>
          </c:layout>
        </c:title>
        <c:numFmt formatCode="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9187712"/>
        <c:crosses val="autoZero"/>
        <c:crossBetween val="midCat"/>
      </c:valAx>
    </c:plotArea>
    <c:legend>
      <c:legendPos val="r"/>
      <c:layout>
        <c:manualLayout>
          <c:xMode val="edge"/>
          <c:yMode val="edge"/>
          <c:x val="0.79389769171211855"/>
          <c:y val="0.11519051129463639"/>
          <c:w val="0.14470698352516967"/>
          <c:h val="7.7419986680769382E-2"/>
        </c:manualLayout>
      </c:layout>
      <c:txPr>
        <a:bodyPr/>
        <a:lstStyle/>
        <a:p>
          <a:pPr>
            <a:defRPr sz="92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zh-TW"/>
  <c:clrMapOvr bg1="lt1" tx1="dk1" bg2="lt2" tx2="dk2" accent1="accent1" accent2="accent2" accent3="accent3" accent4="accent4" accent5="accent5" accent6="accent6" hlink="hlink" folHlink="folHlink"/>
  <c:chart>
    <c:title>
      <c:tx>
        <c:rich>
          <a:bodyPr/>
          <a:lstStyle/>
          <a:p>
            <a:pPr>
              <a:defRPr/>
            </a:pPr>
            <a:r>
              <a:rPr lang="en-US" sz="1400" baseline="0"/>
              <a:t>Iout Current Accuracy vs Time  </a:t>
            </a:r>
          </a:p>
        </c:rich>
      </c:tx>
      <c:layout>
        <c:manualLayout>
          <c:xMode val="edge"/>
          <c:yMode val="edge"/>
          <c:x val="0.37004764863107709"/>
          <c:y val="2.8318581815616067E-2"/>
        </c:manualLayout>
      </c:layout>
    </c:title>
    <c:plotArea>
      <c:layout>
        <c:manualLayout>
          <c:layoutTarget val="inner"/>
          <c:xMode val="edge"/>
          <c:yMode val="edge"/>
          <c:x val="0.10100501635294758"/>
          <c:y val="0.10543160911183022"/>
          <c:w val="0.74340417539550674"/>
          <c:h val="0.76886558277746042"/>
        </c:manualLayout>
      </c:layout>
      <c:scatterChart>
        <c:scatterStyle val="lineMarker"/>
        <c:ser>
          <c:idx val="0"/>
          <c:order val="0"/>
          <c:tx>
            <c:strRef>
              <c:f>Iout_data!$B$102</c:f>
              <c:strCache>
                <c:ptCount val="1"/>
                <c:pt idx="0">
                  <c:v>Pass 1A</c:v>
                </c:pt>
              </c:strCache>
            </c:strRef>
          </c:tx>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Iout_data!$B$103:$B$118</c:f>
              <c:numCache>
                <c:formatCode>0.00%</c:formatCode>
                <c:ptCount val="16"/>
                <c:pt idx="0">
                  <c:v>3.1518952280732826</c:v>
                </c:pt>
                <c:pt idx="1">
                  <c:v>3.1518952280732826</c:v>
                </c:pt>
                <c:pt idx="2">
                  <c:v>2.7943157347463963</c:v>
                </c:pt>
                <c:pt idx="3">
                  <c:v>2.7943157347463963</c:v>
                </c:pt>
                <c:pt idx="4">
                  <c:v>2.7943157347463963</c:v>
                </c:pt>
                <c:pt idx="5">
                  <c:v>2.7943157347463963</c:v>
                </c:pt>
                <c:pt idx="6">
                  <c:v>1.2448045969965593</c:v>
                </c:pt>
                <c:pt idx="7">
                  <c:v>1.2448045969965593</c:v>
                </c:pt>
                <c:pt idx="8">
                  <c:v>1.2448045969965593</c:v>
                </c:pt>
                <c:pt idx="9">
                  <c:v>1.2448045969965593</c:v>
                </c:pt>
                <c:pt idx="10">
                  <c:v>1.3141897759509026E-2</c:v>
                </c:pt>
                <c:pt idx="11">
                  <c:v>1.3141897759509026E-2</c:v>
                </c:pt>
                <c:pt idx="12">
                  <c:v>1.3141897759509026E-2</c:v>
                </c:pt>
                <c:pt idx="13">
                  <c:v>1.3141897759509026E-2</c:v>
                </c:pt>
                <c:pt idx="14">
                  <c:v>-6.7236296475402281E-3</c:v>
                </c:pt>
                <c:pt idx="15">
                  <c:v>-6.7236296475402281E-3</c:v>
                </c:pt>
              </c:numCache>
            </c:numRef>
          </c:yVal>
          <c:extLst xmlns:c16r2="http://schemas.microsoft.com/office/drawing/2015/06/chart">
            <c:ext xmlns:c16="http://schemas.microsoft.com/office/drawing/2014/chart" uri="{C3380CC4-5D6E-409C-BE32-E72D297353CC}">
              <c16:uniqueId val="{00000000-4375-4FAD-AC47-A774585C563E}"/>
            </c:ext>
          </c:extLst>
        </c:ser>
        <c:ser>
          <c:idx val="1"/>
          <c:order val="1"/>
          <c:tx>
            <c:strRef>
              <c:f>Iout_data!$C$102</c:f>
              <c:strCache>
                <c:ptCount val="1"/>
                <c:pt idx="0">
                  <c:v>Pass 2A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Iout_data!$C$103:$C$118</c:f>
              <c:numCache>
                <c:formatCode>0.00%</c:formatCode>
                <c:ptCount val="16"/>
                <c:pt idx="0">
                  <c:v>3.1323287460510865</c:v>
                </c:pt>
                <c:pt idx="1">
                  <c:v>3.1521957111763319</c:v>
                </c:pt>
                <c:pt idx="2">
                  <c:v>3.1521957111763319</c:v>
                </c:pt>
                <c:pt idx="3">
                  <c:v>3.1521957111763319</c:v>
                </c:pt>
                <c:pt idx="4">
                  <c:v>3.1521957111763319</c:v>
                </c:pt>
                <c:pt idx="5">
                  <c:v>1.6621733267829111</c:v>
                </c:pt>
                <c:pt idx="6">
                  <c:v>1.6621733267829111</c:v>
                </c:pt>
                <c:pt idx="7">
                  <c:v>1.6621733267829111</c:v>
                </c:pt>
                <c:pt idx="8">
                  <c:v>1.6621733267829111</c:v>
                </c:pt>
                <c:pt idx="9">
                  <c:v>7.28161167632628E-2</c:v>
                </c:pt>
                <c:pt idx="10">
                  <c:v>7.28161167632628E-2</c:v>
                </c:pt>
                <c:pt idx="11">
                  <c:v>7.28161167632628E-2</c:v>
                </c:pt>
                <c:pt idx="12">
                  <c:v>-6.651743737719735E-3</c:v>
                </c:pt>
                <c:pt idx="13">
                  <c:v>-6.651743737719735E-3</c:v>
                </c:pt>
                <c:pt idx="14">
                  <c:v>-6.651743737719735E-3</c:v>
                </c:pt>
                <c:pt idx="15">
                  <c:v>-6.651743737719735E-3</c:v>
                </c:pt>
              </c:numCache>
            </c:numRef>
          </c:yVal>
          <c:extLst xmlns:c16r2="http://schemas.microsoft.com/office/drawing/2015/06/chart">
            <c:ext xmlns:c16="http://schemas.microsoft.com/office/drawing/2014/chart" uri="{C3380CC4-5D6E-409C-BE32-E72D297353CC}">
              <c16:uniqueId val="{00000001-4375-4FAD-AC47-A774585C563E}"/>
            </c:ext>
          </c:extLst>
        </c:ser>
        <c:ser>
          <c:idx val="2"/>
          <c:order val="2"/>
          <c:tx>
            <c:strRef>
              <c:f>Iout_data!$D$102</c:f>
              <c:strCache>
                <c:ptCount val="1"/>
                <c:pt idx="0">
                  <c:v>Pass 3A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Iout_data!$D$103:$D$118</c:f>
              <c:numCache>
                <c:formatCode>0.00%</c:formatCode>
                <c:ptCount val="16"/>
                <c:pt idx="0">
                  <c:v>3.1515647468872134</c:v>
                </c:pt>
                <c:pt idx="1">
                  <c:v>3.1515647468872134</c:v>
                </c:pt>
                <c:pt idx="2">
                  <c:v>2.8933334468415972</c:v>
                </c:pt>
                <c:pt idx="3">
                  <c:v>2.8933334468415972</c:v>
                </c:pt>
                <c:pt idx="4">
                  <c:v>2.8933334468415972</c:v>
                </c:pt>
                <c:pt idx="5">
                  <c:v>2.8933334468415972</c:v>
                </c:pt>
                <c:pt idx="6">
                  <c:v>1.3240817004105454</c:v>
                </c:pt>
                <c:pt idx="7">
                  <c:v>1.3240817004105454</c:v>
                </c:pt>
                <c:pt idx="8">
                  <c:v>1.3240817004105454</c:v>
                </c:pt>
                <c:pt idx="9">
                  <c:v>1.3240817004105454</c:v>
                </c:pt>
                <c:pt idx="10">
                  <c:v>1.3061254025109471E-2</c:v>
                </c:pt>
                <c:pt idx="11">
                  <c:v>1.3061254025109471E-2</c:v>
                </c:pt>
                <c:pt idx="12">
                  <c:v>1.3061254025109471E-2</c:v>
                </c:pt>
                <c:pt idx="13">
                  <c:v>1.3061254025109471E-2</c:v>
                </c:pt>
                <c:pt idx="14">
                  <c:v>-6.8026921322456753E-3</c:v>
                </c:pt>
                <c:pt idx="15">
                  <c:v>-6.8026921322456753E-3</c:v>
                </c:pt>
              </c:numCache>
            </c:numRef>
          </c:yVal>
          <c:extLst xmlns:c16r2="http://schemas.microsoft.com/office/drawing/2015/06/chart">
            <c:ext xmlns:c16="http://schemas.microsoft.com/office/drawing/2014/chart" uri="{C3380CC4-5D6E-409C-BE32-E72D297353CC}">
              <c16:uniqueId val="{00000002-4375-4FAD-AC47-A774585C563E}"/>
            </c:ext>
          </c:extLst>
        </c:ser>
        <c:ser>
          <c:idx val="3"/>
          <c:order val="3"/>
          <c:tx>
            <c:strRef>
              <c:f>Iout_data!$E$102</c:f>
              <c:strCache>
                <c:ptCount val="1"/>
                <c:pt idx="0">
                  <c:v>Pass 4A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Iout_data!$E$103:$E$118</c:f>
              <c:numCache>
                <c:formatCode>0.00%</c:formatCode>
                <c:ptCount val="16"/>
                <c:pt idx="0">
                  <c:v>3.1291312049874009</c:v>
                </c:pt>
                <c:pt idx="1">
                  <c:v>3.1489827973190714</c:v>
                </c:pt>
                <c:pt idx="2">
                  <c:v>3.1489827973190714</c:v>
                </c:pt>
                <c:pt idx="3">
                  <c:v>3.1489827973190714</c:v>
                </c:pt>
                <c:pt idx="4">
                  <c:v>3.1489827973190714</c:v>
                </c:pt>
                <c:pt idx="5">
                  <c:v>1.640261780112136</c:v>
                </c:pt>
                <c:pt idx="6">
                  <c:v>1.640261780112136</c:v>
                </c:pt>
                <c:pt idx="7">
                  <c:v>1.640261780112136</c:v>
                </c:pt>
                <c:pt idx="8">
                  <c:v>1.640261780112136</c:v>
                </c:pt>
                <c:pt idx="9">
                  <c:v>7.1985985910190661E-2</c:v>
                </c:pt>
                <c:pt idx="10">
                  <c:v>7.1985985910190661E-2</c:v>
                </c:pt>
                <c:pt idx="11">
                  <c:v>7.1985985910190661E-2</c:v>
                </c:pt>
                <c:pt idx="12">
                  <c:v>-7.4203834164902338E-3</c:v>
                </c:pt>
                <c:pt idx="13">
                  <c:v>-7.4203834164902338E-3</c:v>
                </c:pt>
                <c:pt idx="14">
                  <c:v>-7.4203834164902338E-3</c:v>
                </c:pt>
                <c:pt idx="15">
                  <c:v>-7.4203834164902338E-3</c:v>
                </c:pt>
              </c:numCache>
            </c:numRef>
          </c:yVal>
          <c:extLst xmlns:c16r2="http://schemas.microsoft.com/office/drawing/2015/06/chart">
            <c:ext xmlns:c16="http://schemas.microsoft.com/office/drawing/2014/chart" uri="{C3380CC4-5D6E-409C-BE32-E72D297353CC}">
              <c16:uniqueId val="{00000003-4375-4FAD-AC47-A774585C563E}"/>
            </c:ext>
          </c:extLst>
        </c:ser>
        <c:ser>
          <c:idx val="4"/>
          <c:order val="4"/>
          <c:tx>
            <c:strRef>
              <c:f>Iout_data!$F$102</c:f>
              <c:strCache>
                <c:ptCount val="1"/>
                <c:pt idx="0">
                  <c:v>Pass 5A</c:v>
                </c:pt>
              </c:strCache>
            </c:strRef>
          </c:tx>
          <c:spPr>
            <a:ln w="12700"/>
          </c:spPr>
          <c:marker>
            <c:spPr>
              <a:ln w="9525"/>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Iout_data!$F$103:$F$118</c:f>
              <c:numCache>
                <c:formatCode>0.00%</c:formatCode>
                <c:ptCount val="16"/>
                <c:pt idx="0">
                  <c:v>3.1498831125711817</c:v>
                </c:pt>
                <c:pt idx="1">
                  <c:v>3.1498831125711817</c:v>
                </c:pt>
                <c:pt idx="2">
                  <c:v>3.1498831125711817</c:v>
                </c:pt>
                <c:pt idx="3">
                  <c:v>3.1498831125711817</c:v>
                </c:pt>
                <c:pt idx="4">
                  <c:v>3.1498831125711817</c:v>
                </c:pt>
                <c:pt idx="5">
                  <c:v>1.6209788079396936</c:v>
                </c:pt>
                <c:pt idx="6">
                  <c:v>1.6209788079396936</c:v>
                </c:pt>
                <c:pt idx="7">
                  <c:v>1.6209788079396936</c:v>
                </c:pt>
                <c:pt idx="8">
                  <c:v>1.6209788079396936</c:v>
                </c:pt>
                <c:pt idx="9">
                  <c:v>5.2362703187907228E-2</c:v>
                </c:pt>
                <c:pt idx="10">
                  <c:v>5.2362703187907228E-2</c:v>
                </c:pt>
                <c:pt idx="11">
                  <c:v>5.2362703187907228E-2</c:v>
                </c:pt>
                <c:pt idx="12">
                  <c:v>5.2362703187907228E-2</c:v>
                </c:pt>
                <c:pt idx="13">
                  <c:v>-7.2049969925403979E-3</c:v>
                </c:pt>
                <c:pt idx="14">
                  <c:v>-7.2049969925403979E-3</c:v>
                </c:pt>
                <c:pt idx="15">
                  <c:v>-7.2049969925403979E-3</c:v>
                </c:pt>
              </c:numCache>
            </c:numRef>
          </c:yVal>
          <c:extLst xmlns:c16r2="http://schemas.microsoft.com/office/drawing/2015/06/chart">
            <c:ext xmlns:c16="http://schemas.microsoft.com/office/drawing/2014/chart" uri="{C3380CC4-5D6E-409C-BE32-E72D297353CC}">
              <c16:uniqueId val="{00000004-4375-4FAD-AC47-A774585C563E}"/>
            </c:ext>
          </c:extLst>
        </c:ser>
        <c:ser>
          <c:idx val="5"/>
          <c:order val="5"/>
          <c:tx>
            <c:strRef>
              <c:f>Iout_data!$G$102</c:f>
              <c:strCache>
                <c:ptCount val="1"/>
                <c:pt idx="0">
                  <c:v>Pass 6A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Iout_data!$G$103:$G$118</c:f>
              <c:numCache>
                <c:formatCode>0.00%</c:formatCode>
                <c:ptCount val="16"/>
                <c:pt idx="0">
                  <c:v>3.1496129769714916</c:v>
                </c:pt>
                <c:pt idx="1">
                  <c:v>3.1496129769714916</c:v>
                </c:pt>
                <c:pt idx="2">
                  <c:v>3.1496129769714916</c:v>
                </c:pt>
                <c:pt idx="3">
                  <c:v>3.1496129769714916</c:v>
                </c:pt>
                <c:pt idx="4">
                  <c:v>3.1496129769714916</c:v>
                </c:pt>
                <c:pt idx="5">
                  <c:v>1.6406628035273125</c:v>
                </c:pt>
                <c:pt idx="6">
                  <c:v>1.6406628035273125</c:v>
                </c:pt>
                <c:pt idx="7">
                  <c:v>1.6406628035273125</c:v>
                </c:pt>
                <c:pt idx="8">
                  <c:v>1.6406628035273125</c:v>
                </c:pt>
                <c:pt idx="9">
                  <c:v>7.2148807447179664E-2</c:v>
                </c:pt>
                <c:pt idx="10">
                  <c:v>7.2148807447179664E-2</c:v>
                </c:pt>
                <c:pt idx="11">
                  <c:v>7.2148807447179664E-2</c:v>
                </c:pt>
                <c:pt idx="12">
                  <c:v>-7.2696227340930085E-3</c:v>
                </c:pt>
                <c:pt idx="13">
                  <c:v>-7.2696227340930085E-3</c:v>
                </c:pt>
                <c:pt idx="14">
                  <c:v>-7.2696227340930085E-3</c:v>
                </c:pt>
                <c:pt idx="15">
                  <c:v>-7.2696227340930085E-3</c:v>
                </c:pt>
              </c:numCache>
            </c:numRef>
          </c:yVal>
          <c:extLst xmlns:c16r2="http://schemas.microsoft.com/office/drawing/2015/06/chart">
            <c:ext xmlns:c16="http://schemas.microsoft.com/office/drawing/2014/chart" uri="{C3380CC4-5D6E-409C-BE32-E72D297353CC}">
              <c16:uniqueId val="{00000005-4375-4FAD-AC47-A774585C563E}"/>
            </c:ext>
          </c:extLst>
        </c:ser>
        <c:ser>
          <c:idx val="6"/>
          <c:order val="6"/>
          <c:tx>
            <c:strRef>
              <c:f>Iout_data!$H$102</c:f>
              <c:strCache>
                <c:ptCount val="1"/>
                <c:pt idx="0">
                  <c:v>Pass 7A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Iout_data!$H$103:$H$118</c:f>
              <c:numCache>
                <c:formatCode>0.00%</c:formatCode>
                <c:ptCount val="16"/>
                <c:pt idx="0">
                  <c:v>3.1287132011776477</c:v>
                </c:pt>
                <c:pt idx="1">
                  <c:v>3.1485627838756174</c:v>
                </c:pt>
                <c:pt idx="2">
                  <c:v>3.1485627838756174</c:v>
                </c:pt>
                <c:pt idx="3">
                  <c:v>3.1485627838756174</c:v>
                </c:pt>
                <c:pt idx="4">
                  <c:v>3.1485627838756174</c:v>
                </c:pt>
                <c:pt idx="5">
                  <c:v>1.6201449161319685</c:v>
                </c:pt>
                <c:pt idx="6">
                  <c:v>1.6201449161319685</c:v>
                </c:pt>
                <c:pt idx="7">
                  <c:v>1.6201449161319685</c:v>
                </c:pt>
                <c:pt idx="8">
                  <c:v>1.6201449161319685</c:v>
                </c:pt>
                <c:pt idx="9">
                  <c:v>3.2178300294411946E-2</c:v>
                </c:pt>
                <c:pt idx="10">
                  <c:v>3.2178300294411946E-2</c:v>
                </c:pt>
                <c:pt idx="11">
                  <c:v>3.2178300294411946E-2</c:v>
                </c:pt>
                <c:pt idx="12">
                  <c:v>3.2178300294411946E-2</c:v>
                </c:pt>
                <c:pt idx="13">
                  <c:v>-7.5208651015270904E-3</c:v>
                </c:pt>
                <c:pt idx="14">
                  <c:v>-7.5208651015270904E-3</c:v>
                </c:pt>
                <c:pt idx="15">
                  <c:v>-7.5208651015270904E-3</c:v>
                </c:pt>
              </c:numCache>
            </c:numRef>
          </c:yVal>
          <c:extLst xmlns:c16r2="http://schemas.microsoft.com/office/drawing/2015/06/chart">
            <c:ext xmlns:c16="http://schemas.microsoft.com/office/drawing/2014/chart" uri="{C3380CC4-5D6E-409C-BE32-E72D297353CC}">
              <c16:uniqueId val="{00000006-4375-4FAD-AC47-A774585C563E}"/>
            </c:ext>
          </c:extLst>
        </c:ser>
        <c:ser>
          <c:idx val="7"/>
          <c:order val="7"/>
          <c:tx>
            <c:strRef>
              <c:f>Iout_data!$I$102</c:f>
              <c:strCache>
                <c:ptCount val="1"/>
                <c:pt idx="0">
                  <c:v>Pass 8A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Iout_data!$I$103:$I$118</c:f>
              <c:numCache>
                <c:formatCode>0.00%</c:formatCode>
                <c:ptCount val="16"/>
                <c:pt idx="0">
                  <c:v>3.1498230793984829</c:v>
                </c:pt>
                <c:pt idx="1">
                  <c:v>3.1498230793984829</c:v>
                </c:pt>
                <c:pt idx="2">
                  <c:v>3.1498230793984829</c:v>
                </c:pt>
                <c:pt idx="3">
                  <c:v>3.1498230793984829</c:v>
                </c:pt>
                <c:pt idx="4">
                  <c:v>3.1498230793984829</c:v>
                </c:pt>
                <c:pt idx="5">
                  <c:v>1.6209408922516733</c:v>
                </c:pt>
                <c:pt idx="6">
                  <c:v>1.6209408922516733</c:v>
                </c:pt>
                <c:pt idx="7">
                  <c:v>1.6209408922516733</c:v>
                </c:pt>
                <c:pt idx="8">
                  <c:v>1.6209408922516733</c:v>
                </c:pt>
                <c:pt idx="9">
                  <c:v>5.2347479464686965E-2</c:v>
                </c:pt>
                <c:pt idx="10">
                  <c:v>5.2347479464686965E-2</c:v>
                </c:pt>
                <c:pt idx="11">
                  <c:v>5.2347479464686965E-2</c:v>
                </c:pt>
                <c:pt idx="12">
                  <c:v>5.2347479464686965E-2</c:v>
                </c:pt>
                <c:pt idx="13">
                  <c:v>-7.2193589955783814E-3</c:v>
                </c:pt>
                <c:pt idx="14">
                  <c:v>-7.2193589955783814E-3</c:v>
                </c:pt>
                <c:pt idx="15">
                  <c:v>-7.2193589955783814E-3</c:v>
                </c:pt>
              </c:numCache>
            </c:numRef>
          </c:yVal>
          <c:extLst xmlns:c16r2="http://schemas.microsoft.com/office/drawing/2015/06/chart">
            <c:ext xmlns:c16="http://schemas.microsoft.com/office/drawing/2014/chart" uri="{C3380CC4-5D6E-409C-BE32-E72D297353CC}">
              <c16:uniqueId val="{00000007-4375-4FAD-AC47-A774585C563E}"/>
            </c:ext>
          </c:extLst>
        </c:ser>
        <c:ser>
          <c:idx val="8"/>
          <c:order val="8"/>
          <c:tx>
            <c:strRef>
              <c:f>Iout_data!$J$102</c:f>
              <c:strCache>
                <c:ptCount val="1"/>
                <c:pt idx="0">
                  <c:v>Pass 9A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Iout_data!$J$103:$J$118</c:f>
              <c:numCache>
                <c:formatCode>0.00%</c:formatCode>
                <c:ptCount val="16"/>
                <c:pt idx="0">
                  <c:v>3.152135611076297</c:v>
                </c:pt>
                <c:pt idx="1">
                  <c:v>3.152135611076297</c:v>
                </c:pt>
                <c:pt idx="2">
                  <c:v>3.152135611076297</c:v>
                </c:pt>
                <c:pt idx="3">
                  <c:v>3.152135611076297</c:v>
                </c:pt>
                <c:pt idx="4">
                  <c:v>3.152135611076297</c:v>
                </c:pt>
                <c:pt idx="5">
                  <c:v>3.152135611076297</c:v>
                </c:pt>
                <c:pt idx="6">
                  <c:v>1.5826680834445868</c:v>
                </c:pt>
                <c:pt idx="7">
                  <c:v>1.5826680834445868</c:v>
                </c:pt>
                <c:pt idx="8">
                  <c:v>1.5826680834445868</c:v>
                </c:pt>
                <c:pt idx="9">
                  <c:v>1.5826680834445868</c:v>
                </c:pt>
                <c:pt idx="10">
                  <c:v>1.3200555812876292E-2</c:v>
                </c:pt>
                <c:pt idx="11">
                  <c:v>1.3200555812876292E-2</c:v>
                </c:pt>
                <c:pt idx="12">
                  <c:v>1.3200555812876292E-2</c:v>
                </c:pt>
                <c:pt idx="13">
                  <c:v>-6.6661217520821254E-3</c:v>
                </c:pt>
                <c:pt idx="14">
                  <c:v>-6.6661217520821254E-3</c:v>
                </c:pt>
                <c:pt idx="15">
                  <c:v>-6.6661217520821254E-3</c:v>
                </c:pt>
              </c:numCache>
            </c:numRef>
          </c:yVal>
          <c:extLst xmlns:c16r2="http://schemas.microsoft.com/office/drawing/2015/06/chart">
            <c:ext xmlns:c16="http://schemas.microsoft.com/office/drawing/2014/chart" uri="{C3380CC4-5D6E-409C-BE32-E72D297353CC}">
              <c16:uniqueId val="{00000008-4375-4FAD-AC47-A774585C563E}"/>
            </c:ext>
          </c:extLst>
        </c:ser>
        <c:ser>
          <c:idx val="9"/>
          <c:order val="9"/>
          <c:tx>
            <c:strRef>
              <c:f>Iout_data!$K$102</c:f>
              <c:strCache>
                <c:ptCount val="1"/>
                <c:pt idx="0">
                  <c:v>Pass 10A</c:v>
                </c:pt>
              </c:strCache>
            </c:strRef>
          </c:tx>
          <c:spPr>
            <a:ln w="12700"/>
          </c:spP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Iout_data!$K$103:$K$118</c:f>
              <c:numCache>
                <c:formatCode>0.00%</c:formatCode>
                <c:ptCount val="16"/>
                <c:pt idx="0">
                  <c:v>3.1532176791376751</c:v>
                </c:pt>
                <c:pt idx="1">
                  <c:v>3.1532176791376751</c:v>
                </c:pt>
                <c:pt idx="2">
                  <c:v>3.1532176791376751</c:v>
                </c:pt>
                <c:pt idx="3">
                  <c:v>3.1532176791376751</c:v>
                </c:pt>
                <c:pt idx="4">
                  <c:v>3.1532176791376751</c:v>
                </c:pt>
                <c:pt idx="5">
                  <c:v>3.1532176791376751</c:v>
                </c:pt>
                <c:pt idx="6">
                  <c:v>1.6032129950575857</c:v>
                </c:pt>
                <c:pt idx="7">
                  <c:v>1.6032129950575857</c:v>
                </c:pt>
                <c:pt idx="8">
                  <c:v>1.6032129950575857</c:v>
                </c:pt>
                <c:pt idx="9">
                  <c:v>1.3464601129289122E-2</c:v>
                </c:pt>
                <c:pt idx="10">
                  <c:v>1.3464601129289122E-2</c:v>
                </c:pt>
                <c:pt idx="11">
                  <c:v>1.3464601129289122E-2</c:v>
                </c:pt>
                <c:pt idx="12">
                  <c:v>1.3464601129289122E-2</c:v>
                </c:pt>
                <c:pt idx="13">
                  <c:v>-6.4072537948146437E-3</c:v>
                </c:pt>
                <c:pt idx="14">
                  <c:v>-6.4072537948146437E-3</c:v>
                </c:pt>
                <c:pt idx="15">
                  <c:v>-6.4072537948146437E-3</c:v>
                </c:pt>
              </c:numCache>
            </c:numRef>
          </c:yVal>
          <c:extLst xmlns:c16r2="http://schemas.microsoft.com/office/drawing/2015/06/chart">
            <c:ext xmlns:c16="http://schemas.microsoft.com/office/drawing/2014/chart" uri="{C3380CC4-5D6E-409C-BE32-E72D297353CC}">
              <c16:uniqueId val="{00000009-4375-4FAD-AC47-A774585C563E}"/>
            </c:ext>
          </c:extLst>
        </c:ser>
        <c:ser>
          <c:idx val="10"/>
          <c:order val="10"/>
          <c:tx>
            <c:strRef>
              <c:f>Iout_data!$B$123</c:f>
              <c:strCache>
                <c:ptCount val="1"/>
                <c:pt idx="0">
                  <c:v>Pass1B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Iout_data!$B$124:$B$139</c:f>
              <c:numCache>
                <c:formatCode>0.00%</c:formatCode>
                <c:ptCount val="16"/>
                <c:pt idx="0">
                  <c:v>-0.75386776587915949</c:v>
                </c:pt>
                <c:pt idx="1">
                  <c:v>-0.75386776587915949</c:v>
                </c:pt>
                <c:pt idx="2">
                  <c:v>-0.75386776587915949</c:v>
                </c:pt>
                <c:pt idx="3">
                  <c:v>-0.75386776587915949</c:v>
                </c:pt>
                <c:pt idx="4">
                  <c:v>-0.75386776587915949</c:v>
                </c:pt>
                <c:pt idx="5">
                  <c:v>-0.37482412533306531</c:v>
                </c:pt>
                <c:pt idx="6">
                  <c:v>-0.37482412533306531</c:v>
                </c:pt>
                <c:pt idx="7">
                  <c:v>-0.37482412533306531</c:v>
                </c:pt>
                <c:pt idx="8">
                  <c:v>-0.37482412533306531</c:v>
                </c:pt>
                <c:pt idx="9">
                  <c:v>1.4064804577862655E-2</c:v>
                </c:pt>
                <c:pt idx="10">
                  <c:v>1.4064804577862655E-2</c:v>
                </c:pt>
                <c:pt idx="11">
                  <c:v>1.4064804577862655E-2</c:v>
                </c:pt>
                <c:pt idx="12">
                  <c:v>1.4064804577862655E-2</c:v>
                </c:pt>
                <c:pt idx="13">
                  <c:v>2.3910093942696366E-2</c:v>
                </c:pt>
                <c:pt idx="14">
                  <c:v>2.3910093942696366E-2</c:v>
                </c:pt>
                <c:pt idx="15">
                  <c:v>2.3910093942696366E-2</c:v>
                </c:pt>
              </c:numCache>
            </c:numRef>
          </c:yVal>
          <c:extLst xmlns:c16r2="http://schemas.microsoft.com/office/drawing/2015/06/chart">
            <c:ext xmlns:c16="http://schemas.microsoft.com/office/drawing/2014/chart" uri="{C3380CC4-5D6E-409C-BE32-E72D297353CC}">
              <c16:uniqueId val="{0000000A-4375-4FAD-AC47-A774585C563E}"/>
            </c:ext>
          </c:extLst>
        </c:ser>
        <c:ser>
          <c:idx val="11"/>
          <c:order val="11"/>
          <c:tx>
            <c:strRef>
              <c:f>Iout_data!$C$123</c:f>
              <c:strCache>
                <c:ptCount val="1"/>
                <c:pt idx="0">
                  <c:v>Pass 2B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Iout_data!$C$124:$C$139</c:f>
              <c:numCache>
                <c:formatCode>0.00%</c:formatCode>
                <c:ptCount val="16"/>
                <c:pt idx="0">
                  <c:v>-0.75381832179005026</c:v>
                </c:pt>
                <c:pt idx="1">
                  <c:v>-0.75381832179005026</c:v>
                </c:pt>
                <c:pt idx="2">
                  <c:v>-0.72427652040485624</c:v>
                </c:pt>
                <c:pt idx="3">
                  <c:v>-0.72427652040485624</c:v>
                </c:pt>
                <c:pt idx="4">
                  <c:v>-0.72427652040485624</c:v>
                </c:pt>
                <c:pt idx="5">
                  <c:v>-0.72427652040485624</c:v>
                </c:pt>
                <c:pt idx="6">
                  <c:v>-0.34023310239733484</c:v>
                </c:pt>
                <c:pt idx="7">
                  <c:v>-0.34023310239733484</c:v>
                </c:pt>
                <c:pt idx="8">
                  <c:v>-0.34023310239733484</c:v>
                </c:pt>
                <c:pt idx="9">
                  <c:v>-0.34023310239733484</c:v>
                </c:pt>
                <c:pt idx="10">
                  <c:v>1.9192147789191719E-2</c:v>
                </c:pt>
                <c:pt idx="11">
                  <c:v>1.9192147789191719E-2</c:v>
                </c:pt>
                <c:pt idx="12">
                  <c:v>1.9192147789191719E-2</c:v>
                </c:pt>
                <c:pt idx="13">
                  <c:v>2.4115781353390823E-2</c:v>
                </c:pt>
                <c:pt idx="14">
                  <c:v>2.4115781353390823E-2</c:v>
                </c:pt>
                <c:pt idx="15">
                  <c:v>2.4115781353390823E-2</c:v>
                </c:pt>
              </c:numCache>
            </c:numRef>
          </c:yVal>
          <c:extLst xmlns:c16r2="http://schemas.microsoft.com/office/drawing/2015/06/chart">
            <c:ext xmlns:c16="http://schemas.microsoft.com/office/drawing/2014/chart" uri="{C3380CC4-5D6E-409C-BE32-E72D297353CC}">
              <c16:uniqueId val="{0000000B-4375-4FAD-AC47-A774585C563E}"/>
            </c:ext>
          </c:extLst>
        </c:ser>
        <c:ser>
          <c:idx val="12"/>
          <c:order val="12"/>
          <c:tx>
            <c:strRef>
              <c:f>Iout_data!$D$123</c:f>
              <c:strCache>
                <c:ptCount val="1"/>
                <c:pt idx="0">
                  <c:v>Pass 3B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Iout_data!$D$124:$D$139</c:f>
              <c:numCache>
                <c:formatCode>0.00%</c:formatCode>
                <c:ptCount val="16"/>
                <c:pt idx="0">
                  <c:v>-0.75378034230793434</c:v>
                </c:pt>
                <c:pt idx="1">
                  <c:v>-0.75378034230793434</c:v>
                </c:pt>
                <c:pt idx="2">
                  <c:v>-0.75378034230793434</c:v>
                </c:pt>
                <c:pt idx="3">
                  <c:v>-0.75378034230793434</c:v>
                </c:pt>
                <c:pt idx="4">
                  <c:v>-0.75378034230793434</c:v>
                </c:pt>
                <c:pt idx="5">
                  <c:v>-0.3746020694621533</c:v>
                </c:pt>
                <c:pt idx="6">
                  <c:v>-0.3746020694621533</c:v>
                </c:pt>
                <c:pt idx="7">
                  <c:v>-0.3746020694621533</c:v>
                </c:pt>
                <c:pt idx="8">
                  <c:v>-0.3746020694621533</c:v>
                </c:pt>
                <c:pt idx="9">
                  <c:v>1.4424989691310489E-2</c:v>
                </c:pt>
                <c:pt idx="10">
                  <c:v>1.4424989691310489E-2</c:v>
                </c:pt>
                <c:pt idx="11">
                  <c:v>1.4424989691310489E-2</c:v>
                </c:pt>
                <c:pt idx="12">
                  <c:v>1.4424989691310489E-2</c:v>
                </c:pt>
                <c:pt idx="13">
                  <c:v>2.9198169152834505E-2</c:v>
                </c:pt>
                <c:pt idx="14">
                  <c:v>2.9198169152834505E-2</c:v>
                </c:pt>
                <c:pt idx="15">
                  <c:v>2.9198169152834505E-2</c:v>
                </c:pt>
              </c:numCache>
            </c:numRef>
          </c:yVal>
          <c:extLst xmlns:c16r2="http://schemas.microsoft.com/office/drawing/2015/06/chart">
            <c:ext xmlns:c16="http://schemas.microsoft.com/office/drawing/2014/chart" uri="{C3380CC4-5D6E-409C-BE32-E72D297353CC}">
              <c16:uniqueId val="{0000000C-4375-4FAD-AC47-A774585C563E}"/>
            </c:ext>
          </c:extLst>
        </c:ser>
        <c:ser>
          <c:idx val="13"/>
          <c:order val="13"/>
          <c:tx>
            <c:strRef>
              <c:f>Iout_data!$E$123</c:f>
              <c:strCache>
                <c:ptCount val="1"/>
                <c:pt idx="0">
                  <c:v>Pass 4B</c:v>
                </c:pt>
              </c:strCache>
            </c:strRef>
          </c:tx>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Iout_data!$E$124:$E$139</c:f>
              <c:numCache>
                <c:formatCode>0.00%</c:formatCode>
                <c:ptCount val="16"/>
                <c:pt idx="0">
                  <c:v>-0.75390615963741803</c:v>
                </c:pt>
                <c:pt idx="1">
                  <c:v>-0.75390615963741803</c:v>
                </c:pt>
                <c:pt idx="2">
                  <c:v>-0.75390615963741803</c:v>
                </c:pt>
                <c:pt idx="3">
                  <c:v>-0.75390615963741803</c:v>
                </c:pt>
                <c:pt idx="4">
                  <c:v>-0.75390615963741803</c:v>
                </c:pt>
                <c:pt idx="5">
                  <c:v>-0.75390615963741803</c:v>
                </c:pt>
                <c:pt idx="6">
                  <c:v>-0.36999976867179002</c:v>
                </c:pt>
                <c:pt idx="7">
                  <c:v>-0.36999976867179002</c:v>
                </c:pt>
                <c:pt idx="8">
                  <c:v>-0.36999976867179002</c:v>
                </c:pt>
                <c:pt idx="9">
                  <c:v>1.882849910108942E-2</c:v>
                </c:pt>
                <c:pt idx="10">
                  <c:v>1.882849910108942E-2</c:v>
                </c:pt>
                <c:pt idx="11">
                  <c:v>1.882849910108942E-2</c:v>
                </c:pt>
                <c:pt idx="12">
                  <c:v>1.882849910108942E-2</c:v>
                </c:pt>
                <c:pt idx="13">
                  <c:v>2.375037590834117E-2</c:v>
                </c:pt>
                <c:pt idx="14">
                  <c:v>2.375037590834117E-2</c:v>
                </c:pt>
                <c:pt idx="15">
                  <c:v>2.375037590834117E-2</c:v>
                </c:pt>
              </c:numCache>
            </c:numRef>
          </c:yVal>
          <c:extLst xmlns:c16r2="http://schemas.microsoft.com/office/drawing/2015/06/chart">
            <c:ext xmlns:c16="http://schemas.microsoft.com/office/drawing/2014/chart" uri="{C3380CC4-5D6E-409C-BE32-E72D297353CC}">
              <c16:uniqueId val="{0000000D-4375-4FAD-AC47-A774585C563E}"/>
            </c:ext>
          </c:extLst>
        </c:ser>
        <c:ser>
          <c:idx val="14"/>
          <c:order val="14"/>
          <c:tx>
            <c:strRef>
              <c:f>Iout_data!$F$123</c:f>
              <c:strCache>
                <c:ptCount val="1"/>
                <c:pt idx="0">
                  <c:v>Pass 5B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Iout_data!$F$124:$F$139</c:f>
              <c:numCache>
                <c:formatCode>0.00%</c:formatCode>
                <c:ptCount val="16"/>
                <c:pt idx="0">
                  <c:v>-0.75388718490923412</c:v>
                </c:pt>
                <c:pt idx="1">
                  <c:v>-0.75388718490923412</c:v>
                </c:pt>
                <c:pt idx="2">
                  <c:v>-0.75388718490923412</c:v>
                </c:pt>
                <c:pt idx="3">
                  <c:v>-0.75388718490923412</c:v>
                </c:pt>
                <c:pt idx="4">
                  <c:v>-0.75388718490923412</c:v>
                </c:pt>
                <c:pt idx="5">
                  <c:v>-0.37487344966945474</c:v>
                </c:pt>
                <c:pt idx="6">
                  <c:v>-0.37487344966945474</c:v>
                </c:pt>
                <c:pt idx="7">
                  <c:v>-0.37487344966945474</c:v>
                </c:pt>
                <c:pt idx="8">
                  <c:v>-0.37487344966945474</c:v>
                </c:pt>
                <c:pt idx="9">
                  <c:v>1.3984798173955355E-2</c:v>
                </c:pt>
                <c:pt idx="10">
                  <c:v>1.3984798173955355E-2</c:v>
                </c:pt>
                <c:pt idx="11">
                  <c:v>1.3984798173955355E-2</c:v>
                </c:pt>
                <c:pt idx="12">
                  <c:v>1.3984798173955355E-2</c:v>
                </c:pt>
                <c:pt idx="13">
                  <c:v>2.8751567079401383E-2</c:v>
                </c:pt>
                <c:pt idx="14">
                  <c:v>2.8751567079401383E-2</c:v>
                </c:pt>
                <c:pt idx="15">
                  <c:v>2.8751567079401383E-2</c:v>
                </c:pt>
              </c:numCache>
            </c:numRef>
          </c:yVal>
          <c:extLst xmlns:c16r2="http://schemas.microsoft.com/office/drawing/2015/06/chart">
            <c:ext xmlns:c16="http://schemas.microsoft.com/office/drawing/2014/chart" uri="{C3380CC4-5D6E-409C-BE32-E72D297353CC}">
              <c16:uniqueId val="{0000000E-4375-4FAD-AC47-A774585C563E}"/>
            </c:ext>
          </c:extLst>
        </c:ser>
        <c:ser>
          <c:idx val="15"/>
          <c:order val="15"/>
          <c:tx>
            <c:strRef>
              <c:f>Iout_data!$G$123</c:f>
              <c:strCache>
                <c:ptCount val="1"/>
                <c:pt idx="0">
                  <c:v>Pass 6B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Iout_data!$G$124:$G$139</c:f>
              <c:numCache>
                <c:formatCode>0.00%</c:formatCode>
                <c:ptCount val="16"/>
                <c:pt idx="0">
                  <c:v>-0.75385319959544717</c:v>
                </c:pt>
                <c:pt idx="1">
                  <c:v>-0.75385319959544717</c:v>
                </c:pt>
                <c:pt idx="2">
                  <c:v>-0.68493209548217238</c:v>
                </c:pt>
                <c:pt idx="3">
                  <c:v>-0.68493209548217238</c:v>
                </c:pt>
                <c:pt idx="4">
                  <c:v>-0.68493209548217238</c:v>
                </c:pt>
                <c:pt idx="5">
                  <c:v>-0.68493209548217238</c:v>
                </c:pt>
                <c:pt idx="6">
                  <c:v>-0.29602015084297895</c:v>
                </c:pt>
                <c:pt idx="7">
                  <c:v>-0.29602015084297895</c:v>
                </c:pt>
                <c:pt idx="8">
                  <c:v>-0.29602015084297895</c:v>
                </c:pt>
                <c:pt idx="9">
                  <c:v>-0.29602015084297895</c:v>
                </c:pt>
                <c:pt idx="10">
                  <c:v>1.904775367484857E-2</c:v>
                </c:pt>
                <c:pt idx="11">
                  <c:v>1.904775367484857E-2</c:v>
                </c:pt>
                <c:pt idx="12">
                  <c:v>1.904775367484857E-2</c:v>
                </c:pt>
                <c:pt idx="13">
                  <c:v>2.8893625691030773E-2</c:v>
                </c:pt>
                <c:pt idx="14">
                  <c:v>2.8893625691030773E-2</c:v>
                </c:pt>
                <c:pt idx="15">
                  <c:v>2.8893625691030773E-2</c:v>
                </c:pt>
              </c:numCache>
            </c:numRef>
          </c:yVal>
          <c:extLst xmlns:c16r2="http://schemas.microsoft.com/office/drawing/2015/06/chart">
            <c:ext xmlns:c16="http://schemas.microsoft.com/office/drawing/2014/chart" uri="{C3380CC4-5D6E-409C-BE32-E72D297353CC}">
              <c16:uniqueId val="{0000000F-4375-4FAD-AC47-A774585C563E}"/>
            </c:ext>
          </c:extLst>
        </c:ser>
        <c:ser>
          <c:idx val="16"/>
          <c:order val="16"/>
          <c:tx>
            <c:strRef>
              <c:f>Iout_data!$H$123</c:f>
              <c:strCache>
                <c:ptCount val="1"/>
                <c:pt idx="0">
                  <c:v>Pass 7B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Iout_data!$H$124:$H$139</c:f>
              <c:numCache>
                <c:formatCode>0.00%</c:formatCode>
                <c:ptCount val="16"/>
                <c:pt idx="0">
                  <c:v>-0.75391145438822627</c:v>
                </c:pt>
                <c:pt idx="1">
                  <c:v>-0.75391145438822627</c:v>
                </c:pt>
                <c:pt idx="2">
                  <c:v>-0.75391145438822627</c:v>
                </c:pt>
                <c:pt idx="3">
                  <c:v>-0.75391145438822627</c:v>
                </c:pt>
                <c:pt idx="4">
                  <c:v>-0.75391145438822627</c:v>
                </c:pt>
                <c:pt idx="5">
                  <c:v>-0.37985686505833038</c:v>
                </c:pt>
                <c:pt idx="6">
                  <c:v>-0.37985686505833038</c:v>
                </c:pt>
                <c:pt idx="7">
                  <c:v>-0.37985686505833038</c:v>
                </c:pt>
                <c:pt idx="8">
                  <c:v>-0.37985686505833038</c:v>
                </c:pt>
                <c:pt idx="9">
                  <c:v>8.9630370082720116E-3</c:v>
                </c:pt>
                <c:pt idx="10">
                  <c:v>8.9630370082720116E-3</c:v>
                </c:pt>
                <c:pt idx="11">
                  <c:v>8.9630370082720116E-3</c:v>
                </c:pt>
                <c:pt idx="12">
                  <c:v>8.9630370082720116E-3</c:v>
                </c:pt>
                <c:pt idx="13">
                  <c:v>2.3728349744978505E-2</c:v>
                </c:pt>
                <c:pt idx="14">
                  <c:v>2.3728349744978505E-2</c:v>
                </c:pt>
                <c:pt idx="15">
                  <c:v>2.3728349744978505E-2</c:v>
                </c:pt>
              </c:numCache>
            </c:numRef>
          </c:yVal>
          <c:extLst xmlns:c16r2="http://schemas.microsoft.com/office/drawing/2015/06/chart">
            <c:ext xmlns:c16="http://schemas.microsoft.com/office/drawing/2014/chart" uri="{C3380CC4-5D6E-409C-BE32-E72D297353CC}">
              <c16:uniqueId val="{00000010-4375-4FAD-AC47-A774585C563E}"/>
            </c:ext>
          </c:extLst>
        </c:ser>
        <c:ser>
          <c:idx val="17"/>
          <c:order val="17"/>
          <c:tx>
            <c:strRef>
              <c:f>Iout_data!$I$123</c:f>
              <c:strCache>
                <c:ptCount val="1"/>
                <c:pt idx="0">
                  <c:v>Pass 8B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Iout_data!$I$124:$I$139</c:f>
              <c:numCache>
                <c:formatCode>0.00%</c:formatCode>
                <c:ptCount val="16"/>
                <c:pt idx="0">
                  <c:v>-0.75387482769919412</c:v>
                </c:pt>
                <c:pt idx="1">
                  <c:v>-0.75387482769919412</c:v>
                </c:pt>
                <c:pt idx="2">
                  <c:v>-0.75387482769919412</c:v>
                </c:pt>
                <c:pt idx="3">
                  <c:v>-0.75387482769919412</c:v>
                </c:pt>
                <c:pt idx="4">
                  <c:v>-0.75387482769919412</c:v>
                </c:pt>
                <c:pt idx="5">
                  <c:v>-0.37976456580196921</c:v>
                </c:pt>
                <c:pt idx="6">
                  <c:v>-0.37976456580196921</c:v>
                </c:pt>
                <c:pt idx="7">
                  <c:v>-0.37976456580196921</c:v>
                </c:pt>
                <c:pt idx="8">
                  <c:v>-0.37976456580196921</c:v>
                </c:pt>
                <c:pt idx="9">
                  <c:v>9.1132064333041014E-3</c:v>
                </c:pt>
                <c:pt idx="10">
                  <c:v>9.1132064333041014E-3</c:v>
                </c:pt>
                <c:pt idx="11">
                  <c:v>9.1132064333041014E-3</c:v>
                </c:pt>
                <c:pt idx="12">
                  <c:v>2.8803220217368631E-2</c:v>
                </c:pt>
                <c:pt idx="13">
                  <c:v>2.8803220217368631E-2</c:v>
                </c:pt>
                <c:pt idx="14">
                  <c:v>2.8803220217368631E-2</c:v>
                </c:pt>
                <c:pt idx="15">
                  <c:v>2.8803220217368631E-2</c:v>
                </c:pt>
              </c:numCache>
            </c:numRef>
          </c:yVal>
          <c:extLst xmlns:c16r2="http://schemas.microsoft.com/office/drawing/2015/06/chart">
            <c:ext xmlns:c16="http://schemas.microsoft.com/office/drawing/2014/chart" uri="{C3380CC4-5D6E-409C-BE32-E72D297353CC}">
              <c16:uniqueId val="{00000011-4375-4FAD-AC47-A774585C563E}"/>
            </c:ext>
          </c:extLst>
        </c:ser>
        <c:ser>
          <c:idx val="18"/>
          <c:order val="18"/>
          <c:tx>
            <c:strRef>
              <c:f>Iout_data!$J$123</c:f>
              <c:strCache>
                <c:ptCount val="1"/>
                <c:pt idx="0">
                  <c:v>Pass 9B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Iout_data!$J$124:$J$139</c:f>
              <c:numCache>
                <c:formatCode>0.00%</c:formatCode>
                <c:ptCount val="16"/>
                <c:pt idx="0">
                  <c:v>-0.75383907306766662</c:v>
                </c:pt>
                <c:pt idx="1">
                  <c:v>-0.75383907306766662</c:v>
                </c:pt>
                <c:pt idx="2">
                  <c:v>-0.75383907306766662</c:v>
                </c:pt>
                <c:pt idx="3">
                  <c:v>-0.75383907306766662</c:v>
                </c:pt>
                <c:pt idx="4">
                  <c:v>-0.75383907306766662</c:v>
                </c:pt>
                <c:pt idx="5">
                  <c:v>-0.37475124559187328</c:v>
                </c:pt>
                <c:pt idx="6">
                  <c:v>-0.37475124559187328</c:v>
                </c:pt>
                <c:pt idx="7">
                  <c:v>-0.37475124559187328</c:v>
                </c:pt>
                <c:pt idx="8">
                  <c:v>-0.37475124559187328</c:v>
                </c:pt>
                <c:pt idx="9">
                  <c:v>1.4183018961213474E-2</c:v>
                </c:pt>
                <c:pt idx="10">
                  <c:v>1.4183018961213474E-2</c:v>
                </c:pt>
                <c:pt idx="11">
                  <c:v>1.4183018961213474E-2</c:v>
                </c:pt>
                <c:pt idx="12">
                  <c:v>1.4183018961213474E-2</c:v>
                </c:pt>
                <c:pt idx="13">
                  <c:v>2.40294560385069E-2</c:v>
                </c:pt>
                <c:pt idx="14">
                  <c:v>2.40294560385069E-2</c:v>
                </c:pt>
                <c:pt idx="15">
                  <c:v>2.40294560385069E-2</c:v>
                </c:pt>
              </c:numCache>
            </c:numRef>
          </c:yVal>
          <c:extLst xmlns:c16r2="http://schemas.microsoft.com/office/drawing/2015/06/chart">
            <c:ext xmlns:c16="http://schemas.microsoft.com/office/drawing/2014/chart" uri="{C3380CC4-5D6E-409C-BE32-E72D297353CC}">
              <c16:uniqueId val="{00000012-4375-4FAD-AC47-A774585C563E}"/>
            </c:ext>
          </c:extLst>
        </c:ser>
        <c:ser>
          <c:idx val="19"/>
          <c:order val="19"/>
          <c:tx>
            <c:strRef>
              <c:f>Iout_data!$K$123</c:f>
              <c:strCache>
                <c:ptCount val="1"/>
                <c:pt idx="0">
                  <c:v>Pass 10B</c:v>
                </c:pt>
              </c:strCache>
            </c:strRef>
          </c:tx>
          <c:spPr>
            <a:ln w="12700"/>
          </c:spP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Iout_data!$K$124:$K$139</c:f>
              <c:numCache>
                <c:formatCode>0.00%</c:formatCode>
                <c:ptCount val="16"/>
                <c:pt idx="0">
                  <c:v>-0.75381523087489</c:v>
                </c:pt>
                <c:pt idx="1">
                  <c:v>-0.75381523087489</c:v>
                </c:pt>
                <c:pt idx="2">
                  <c:v>-0.75381523087489</c:v>
                </c:pt>
                <c:pt idx="3">
                  <c:v>-0.75381523087489</c:v>
                </c:pt>
                <c:pt idx="4">
                  <c:v>-0.75381523087489</c:v>
                </c:pt>
                <c:pt idx="5">
                  <c:v>-0.3796143818047229</c:v>
                </c:pt>
                <c:pt idx="6">
                  <c:v>-0.3796143818047229</c:v>
                </c:pt>
                <c:pt idx="7">
                  <c:v>-0.3796143818047229</c:v>
                </c:pt>
                <c:pt idx="8">
                  <c:v>-0.3796143818047229</c:v>
                </c:pt>
                <c:pt idx="9">
                  <c:v>9.3575534129508673E-3</c:v>
                </c:pt>
                <c:pt idx="10">
                  <c:v>9.3575534129508673E-3</c:v>
                </c:pt>
                <c:pt idx="11">
                  <c:v>9.3575534129508673E-3</c:v>
                </c:pt>
                <c:pt idx="12">
                  <c:v>2.4128639560457538E-2</c:v>
                </c:pt>
                <c:pt idx="13">
                  <c:v>2.4128639560457538E-2</c:v>
                </c:pt>
                <c:pt idx="14">
                  <c:v>2.4128639560457538E-2</c:v>
                </c:pt>
                <c:pt idx="15">
                  <c:v>2.4128639560457538E-2</c:v>
                </c:pt>
              </c:numCache>
            </c:numRef>
          </c:yVal>
          <c:extLst xmlns:c16r2="http://schemas.microsoft.com/office/drawing/2015/06/chart">
            <c:ext xmlns:c16="http://schemas.microsoft.com/office/drawing/2014/chart" uri="{C3380CC4-5D6E-409C-BE32-E72D297353CC}">
              <c16:uniqueId val="{00000013-4375-4FAD-AC47-A774585C563E}"/>
            </c:ext>
          </c:extLst>
        </c:ser>
        <c:ser>
          <c:idx val="20"/>
          <c:order val="20"/>
          <c:tx>
            <c:strRef>
              <c:f>Iout_data!$O$3</c:f>
              <c:strCache>
                <c:ptCount val="1"/>
                <c:pt idx="0">
                  <c:v>Upper limit</c:v>
                </c:pt>
              </c:strCache>
            </c:strRef>
          </c:tx>
          <c:spPr>
            <a:ln>
              <a:solidFill>
                <a:schemeClr val="accent2">
                  <a:lumMod val="60000"/>
                  <a:lumOff val="40000"/>
                </a:schemeClr>
              </a:solidFill>
            </a:ln>
          </c:spPr>
          <c:marker>
            <c:symbol val="none"/>
          </c:marker>
          <c:xVal>
            <c:numRef>
              <c:f>Iout_data!$Q$5:$Q$6</c:f>
              <c:numCache>
                <c:formatCode>0.000</c:formatCode>
                <c:ptCount val="2"/>
                <c:pt idx="0" formatCode="0.00000">
                  <c:v>0</c:v>
                </c:pt>
                <c:pt idx="1">
                  <c:v>300</c:v>
                </c:pt>
              </c:numCache>
            </c:numRef>
          </c:xVal>
          <c:yVal>
            <c:numRef>
              <c:f>Iout_data!$O$5:$O$6</c:f>
              <c:numCache>
                <c:formatCode>0.00%</c:formatCode>
                <c:ptCount val="2"/>
                <c:pt idx="0">
                  <c:v>7.1999999999999995E-2</c:v>
                </c:pt>
                <c:pt idx="1">
                  <c:v>7.1999999999999995E-2</c:v>
                </c:pt>
              </c:numCache>
            </c:numRef>
          </c:yVal>
          <c:extLst xmlns:c16r2="http://schemas.microsoft.com/office/drawing/2015/06/chart">
            <c:ext xmlns:c16="http://schemas.microsoft.com/office/drawing/2014/chart" uri="{C3380CC4-5D6E-409C-BE32-E72D297353CC}">
              <c16:uniqueId val="{00000014-4375-4FAD-AC47-A774585C563E}"/>
            </c:ext>
          </c:extLst>
        </c:ser>
        <c:ser>
          <c:idx val="21"/>
          <c:order val="21"/>
          <c:tx>
            <c:strRef>
              <c:f>Iout_data!$P$3</c:f>
              <c:strCache>
                <c:ptCount val="1"/>
                <c:pt idx="0">
                  <c:v>Lower limit</c:v>
                </c:pt>
              </c:strCache>
            </c:strRef>
          </c:tx>
          <c:spPr>
            <a:ln>
              <a:solidFill>
                <a:schemeClr val="accent6">
                  <a:lumMod val="75000"/>
                </a:schemeClr>
              </a:solidFill>
            </a:ln>
          </c:spPr>
          <c:marker>
            <c:symbol val="none"/>
          </c:marker>
          <c:xVal>
            <c:numRef>
              <c:f>Iout_data!$Q$5:$Q$6</c:f>
              <c:numCache>
                <c:formatCode>0.000</c:formatCode>
                <c:ptCount val="2"/>
                <c:pt idx="0" formatCode="0.00000">
                  <c:v>0</c:v>
                </c:pt>
                <c:pt idx="1">
                  <c:v>300</c:v>
                </c:pt>
              </c:numCache>
            </c:numRef>
          </c:xVal>
          <c:yVal>
            <c:numRef>
              <c:f>Iout_data!$P$5:$P$6</c:f>
              <c:numCache>
                <c:formatCode>0.00%</c:formatCode>
                <c:ptCount val="2"/>
                <c:pt idx="0">
                  <c:v>-7.1999999999999995E-2</c:v>
                </c:pt>
                <c:pt idx="1">
                  <c:v>-7.1999999999999995E-2</c:v>
                </c:pt>
              </c:numCache>
            </c:numRef>
          </c:yVal>
          <c:extLst xmlns:c16r2="http://schemas.microsoft.com/office/drawing/2015/06/chart">
            <c:ext xmlns:c16="http://schemas.microsoft.com/office/drawing/2014/chart" uri="{C3380CC4-5D6E-409C-BE32-E72D297353CC}">
              <c16:uniqueId val="{00000015-4375-4FAD-AC47-A774585C563E}"/>
            </c:ext>
          </c:extLst>
        </c:ser>
        <c:ser>
          <c:idx val="22"/>
          <c:order val="22"/>
          <c:tx>
            <c:strRef>
              <c:f>Iout_data!$O$7</c:f>
              <c:strCache>
                <c:ptCount val="1"/>
                <c:pt idx="0">
                  <c:v>Upper limit</c:v>
                </c:pt>
              </c:strCache>
            </c:strRef>
          </c:tx>
          <c:marker>
            <c:symbol val="none"/>
          </c:marker>
          <c:dPt>
            <c:idx val="1"/>
            <c:spPr>
              <a:ln>
                <a:solidFill>
                  <a:schemeClr val="tx2">
                    <a:lumMod val="60000"/>
                    <a:lumOff val="40000"/>
                  </a:schemeClr>
                </a:solidFill>
              </a:ln>
            </c:spPr>
            <c:extLst xmlns:c16r2="http://schemas.microsoft.com/office/drawing/2015/06/chart">
              <c:ext xmlns:c16="http://schemas.microsoft.com/office/drawing/2014/chart" uri="{C3380CC4-5D6E-409C-BE32-E72D297353CC}">
                <c16:uniqueId val="{00000017-4375-4FAD-AC47-A774585C563E}"/>
              </c:ext>
            </c:extLst>
          </c:dPt>
          <c:xVal>
            <c:numRef>
              <c:f>Iout_data!$Q$9:$Q$10</c:f>
              <c:numCache>
                <c:formatCode>0.000</c:formatCode>
                <c:ptCount val="2"/>
                <c:pt idx="0">
                  <c:v>300</c:v>
                </c:pt>
                <c:pt idx="1">
                  <c:v>600</c:v>
                </c:pt>
              </c:numCache>
            </c:numRef>
          </c:xVal>
          <c:yVal>
            <c:numRef>
              <c:f>Iout_data!$O$9:$O$10</c:f>
              <c:numCache>
                <c:formatCode>0.00%</c:formatCode>
                <c:ptCount val="2"/>
                <c:pt idx="0">
                  <c:v>6.3E-2</c:v>
                </c:pt>
                <c:pt idx="1">
                  <c:v>6.3E-2</c:v>
                </c:pt>
              </c:numCache>
            </c:numRef>
          </c:yVal>
          <c:extLst xmlns:c16r2="http://schemas.microsoft.com/office/drawing/2015/06/chart">
            <c:ext xmlns:c16="http://schemas.microsoft.com/office/drawing/2014/chart" uri="{C3380CC4-5D6E-409C-BE32-E72D297353CC}">
              <c16:uniqueId val="{00000018-4375-4FAD-AC47-A774585C563E}"/>
            </c:ext>
          </c:extLst>
        </c:ser>
        <c:ser>
          <c:idx val="23"/>
          <c:order val="23"/>
          <c:tx>
            <c:strRef>
              <c:f>Iout_data!$P$7</c:f>
              <c:strCache>
                <c:ptCount val="1"/>
                <c:pt idx="0">
                  <c:v>Lower limit</c:v>
                </c:pt>
              </c:strCache>
            </c:strRef>
          </c:tx>
          <c:spPr>
            <a:ln>
              <a:solidFill>
                <a:schemeClr val="accent3">
                  <a:lumMod val="75000"/>
                </a:schemeClr>
              </a:solidFill>
            </a:ln>
          </c:spPr>
          <c:marker>
            <c:symbol val="none"/>
          </c:marker>
          <c:xVal>
            <c:numRef>
              <c:f>Iout_data!$Q$9:$Q$10</c:f>
              <c:numCache>
                <c:formatCode>0.000</c:formatCode>
                <c:ptCount val="2"/>
                <c:pt idx="0">
                  <c:v>300</c:v>
                </c:pt>
                <c:pt idx="1">
                  <c:v>600</c:v>
                </c:pt>
              </c:numCache>
            </c:numRef>
          </c:xVal>
          <c:yVal>
            <c:numRef>
              <c:f>Iout_data!$P$9:$P$10</c:f>
              <c:numCache>
                <c:formatCode>0.00%</c:formatCode>
                <c:ptCount val="2"/>
                <c:pt idx="0">
                  <c:v>-6.3E-2</c:v>
                </c:pt>
                <c:pt idx="1">
                  <c:v>-6.3E-2</c:v>
                </c:pt>
              </c:numCache>
            </c:numRef>
          </c:yVal>
          <c:extLst xmlns:c16r2="http://schemas.microsoft.com/office/drawing/2015/06/chart">
            <c:ext xmlns:c16="http://schemas.microsoft.com/office/drawing/2014/chart" uri="{C3380CC4-5D6E-409C-BE32-E72D297353CC}">
              <c16:uniqueId val="{00000019-4375-4FAD-AC47-A774585C563E}"/>
            </c:ext>
          </c:extLst>
        </c:ser>
        <c:axId val="99607296"/>
        <c:axId val="99609216"/>
      </c:scatterChart>
      <c:valAx>
        <c:axId val="99607296"/>
        <c:scaling>
          <c:orientation val="minMax"/>
        </c:scaling>
        <c:axPos val="b"/>
        <c:majorGridlines>
          <c:spPr>
            <a:ln w="6350"/>
          </c:spPr>
        </c:majorGridlines>
        <c:title>
          <c:tx>
            <c:rich>
              <a:bodyPr/>
              <a:lstStyle/>
              <a:p>
                <a:pPr>
                  <a:defRPr/>
                </a:pPr>
                <a:r>
                  <a:rPr lang="en-US" sz="1200"/>
                  <a:t>Time</a:t>
                </a:r>
                <a:r>
                  <a:rPr lang="en-US" sz="1200" baseline="0"/>
                  <a:t> (uS)</a:t>
                </a:r>
                <a:endParaRPr lang="en-US" sz="1200"/>
              </a:p>
            </c:rich>
          </c:tx>
          <c:layout/>
        </c:title>
        <c:numFmt formatCode="0" sourceLinked="0"/>
        <c:tickLblPos val="nextTo"/>
        <c:crossAx val="99609216"/>
        <c:crossesAt val="-30"/>
        <c:crossBetween val="midCat"/>
      </c:valAx>
      <c:valAx>
        <c:axId val="99609216"/>
        <c:scaling>
          <c:orientation val="minMax"/>
          <c:max val="0.30000000000000032"/>
          <c:min val="-0.30000000000000032"/>
        </c:scaling>
        <c:axPos val="l"/>
        <c:majorGridlines>
          <c:spPr>
            <a:ln w="6350">
              <a:solidFill>
                <a:schemeClr val="tx1">
                  <a:lumMod val="50000"/>
                  <a:lumOff val="50000"/>
                </a:schemeClr>
              </a:solidFill>
            </a:ln>
          </c:spPr>
        </c:majorGridlines>
        <c:title>
          <c:tx>
            <c:rich>
              <a:bodyPr rot="-5400000" vert="horz"/>
              <a:lstStyle/>
              <a:p>
                <a:pPr>
                  <a:defRPr/>
                </a:pPr>
                <a:r>
                  <a:rPr lang="en-US" sz="1200"/>
                  <a:t>Imon</a:t>
                </a:r>
                <a:r>
                  <a:rPr lang="en-US" sz="1200" baseline="0"/>
                  <a:t> Accuracy (Percent of Measured Load Current) </a:t>
                </a:r>
                <a:endParaRPr lang="en-US" sz="1200"/>
              </a:p>
            </c:rich>
          </c:tx>
          <c:layout/>
        </c:title>
        <c:numFmt formatCode="0.00%" sourceLinked="1"/>
        <c:tickLblPos val="nextTo"/>
        <c:crossAx val="99607296"/>
        <c:crossesAt val="0"/>
        <c:crossBetween val="midCat"/>
        <c:majorUnit val="5.0000000000000024E-2"/>
      </c:valAx>
      <c:spPr>
        <a:solidFill>
          <a:schemeClr val="bg1">
            <a:lumMod val="85000"/>
          </a:schemeClr>
        </a:solidFill>
        <a:ln>
          <a:solidFill>
            <a:srgbClr val="808080">
              <a:alpha val="99000"/>
            </a:srgbClr>
          </a:solidFill>
        </a:ln>
      </c:spPr>
    </c:plotArea>
    <c:legend>
      <c:legendPos val="r"/>
      <c:layout>
        <c:manualLayout>
          <c:xMode val="edge"/>
          <c:yMode val="edge"/>
          <c:x val="0.85143140456601962"/>
          <c:y val="4.2681798202715587E-2"/>
          <c:w val="0.13976414708466478"/>
          <c:h val="0.83382970931833389"/>
        </c:manualLayout>
      </c:layout>
      <c:spPr>
        <a:ln>
          <a:solidFill>
            <a:schemeClr val="tx1"/>
          </a:solidFill>
        </a:ln>
      </c:spPr>
    </c:legend>
    <c:plotVisOnly val="1"/>
    <c:dispBlanksAs val="gap"/>
  </c:chart>
  <c:spPr>
    <a:ln>
      <a:solidFill>
        <a:schemeClr val="accent1"/>
      </a:solidFill>
    </a:ln>
  </c:spPr>
  <c:printSettings>
    <c:headerFooter/>
    <c:pageMargins b="0.75000000000000044" l="0.7000000000000004" r="0.7000000000000004" t="0.75000000000000044" header="0.30000000000000021" footer="0.3000000000000002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zh-TW"/>
  <c:clrMapOvr bg1="lt1" tx1="dk1" bg2="lt2" tx2="dk2" accent1="accent1" accent2="accent2" accent3="accent3" accent4="accent4" accent5="accent5" accent6="accent6" hlink="hlink" folHlink="folHlink"/>
  <c:chart>
    <c:title>
      <c:tx>
        <c:rich>
          <a:bodyPr/>
          <a:lstStyle/>
          <a:p>
            <a:pPr algn="ctr">
              <a:defRPr sz="1200" b="1" i="0" u="none" strike="noStrike" baseline="0">
                <a:solidFill>
                  <a:srgbClr val="000000"/>
                </a:solidFill>
                <a:latin typeface="Arial"/>
                <a:ea typeface="Arial"/>
                <a:cs typeface="Arial"/>
              </a:defRPr>
            </a:pPr>
            <a:r>
              <a:rPr lang="en-US" sz="1400" baseline="0"/>
              <a:t>Iout Response Time for Transient Load Step</a:t>
            </a:r>
          </a:p>
        </c:rich>
      </c:tx>
      <c:layout>
        <c:manualLayout>
          <c:xMode val="edge"/>
          <c:yMode val="edge"/>
          <c:x val="0.27762176665522448"/>
          <c:y val="3.9267075933710552E-2"/>
        </c:manualLayout>
      </c:layout>
      <c:spPr>
        <a:noFill/>
        <a:ln w="25400">
          <a:noFill/>
        </a:ln>
      </c:spPr>
    </c:title>
    <c:plotArea>
      <c:layout>
        <c:manualLayout>
          <c:layoutTarget val="inner"/>
          <c:xMode val="edge"/>
          <c:yMode val="edge"/>
          <c:x val="7.5622775800711819E-2"/>
          <c:y val="0.12958115183246102"/>
          <c:w val="0.77758007117437777"/>
          <c:h val="0.76308900523560264"/>
        </c:manualLayout>
      </c:layout>
      <c:scatterChart>
        <c:scatterStyle val="lineMarker"/>
        <c:ser>
          <c:idx val="0"/>
          <c:order val="0"/>
          <c:tx>
            <c:strRef>
              <c:f>Iout_data!$B$61</c:f>
              <c:strCache>
                <c:ptCount val="1"/>
                <c:pt idx="0">
                  <c:v>Pass 1A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Iout_data!$B$62:$B$77</c:f>
              <c:numCache>
                <c:formatCode>0.000</c:formatCode>
                <c:ptCount val="16"/>
                <c:pt idx="0">
                  <c:v>57.372549019607845</c:v>
                </c:pt>
                <c:pt idx="1">
                  <c:v>57.372549019607845</c:v>
                </c:pt>
                <c:pt idx="2">
                  <c:v>52.431372549019606</c:v>
                </c:pt>
                <c:pt idx="3">
                  <c:v>52.431372549019606</c:v>
                </c:pt>
                <c:pt idx="4">
                  <c:v>52.431372549019606</c:v>
                </c:pt>
                <c:pt idx="5">
                  <c:v>52.431372549019606</c:v>
                </c:pt>
                <c:pt idx="6">
                  <c:v>31.019607843137255</c:v>
                </c:pt>
                <c:pt idx="7">
                  <c:v>31.019607843137255</c:v>
                </c:pt>
                <c:pt idx="8">
                  <c:v>31.019607843137255</c:v>
                </c:pt>
                <c:pt idx="9">
                  <c:v>31.019607843137255</c:v>
                </c:pt>
                <c:pt idx="10">
                  <c:v>14</c:v>
                </c:pt>
                <c:pt idx="11">
                  <c:v>14</c:v>
                </c:pt>
                <c:pt idx="12">
                  <c:v>14</c:v>
                </c:pt>
                <c:pt idx="13">
                  <c:v>14</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0-6735-43F7-9D1B-74EE46B0B998}"/>
            </c:ext>
          </c:extLst>
        </c:ser>
        <c:ser>
          <c:idx val="1"/>
          <c:order val="1"/>
          <c:tx>
            <c:strRef>
              <c:f>Iout_data!$C$61</c:f>
              <c:strCache>
                <c:ptCount val="1"/>
                <c:pt idx="0">
                  <c:v>Pass 2A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Iout_data!$C$62:$C$77</c:f>
              <c:numCache>
                <c:formatCode>0.000</c:formatCode>
                <c:ptCount val="16"/>
                <c:pt idx="0">
                  <c:v>57.098039215686278</c:v>
                </c:pt>
                <c:pt idx="1">
                  <c:v>57.372549019607845</c:v>
                </c:pt>
                <c:pt idx="2">
                  <c:v>57.372549019607845</c:v>
                </c:pt>
                <c:pt idx="3">
                  <c:v>57.372549019607845</c:v>
                </c:pt>
                <c:pt idx="4">
                  <c:v>57.372549019607845</c:v>
                </c:pt>
                <c:pt idx="5">
                  <c:v>36.784313725490193</c:v>
                </c:pt>
                <c:pt idx="6">
                  <c:v>36.784313725490193</c:v>
                </c:pt>
                <c:pt idx="7">
                  <c:v>36.784313725490193</c:v>
                </c:pt>
                <c:pt idx="8">
                  <c:v>36.784313725490193</c:v>
                </c:pt>
                <c:pt idx="9">
                  <c:v>14.823529411764707</c:v>
                </c:pt>
                <c:pt idx="10">
                  <c:v>14.823529411764707</c:v>
                </c:pt>
                <c:pt idx="11">
                  <c:v>14.823529411764707</c:v>
                </c:pt>
                <c:pt idx="12">
                  <c:v>13.725490196078431</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1-6735-43F7-9D1B-74EE46B0B998}"/>
            </c:ext>
          </c:extLst>
        </c:ser>
        <c:ser>
          <c:idx val="2"/>
          <c:order val="2"/>
          <c:tx>
            <c:strRef>
              <c:f>Iout_data!$D$61</c:f>
              <c:strCache>
                <c:ptCount val="1"/>
                <c:pt idx="0">
                  <c:v>Pass 3A</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Iout_data!$D$62:$D$77</c:f>
              <c:numCache>
                <c:formatCode>0.000</c:formatCode>
                <c:ptCount val="16"/>
                <c:pt idx="0">
                  <c:v>57.372549019607845</c:v>
                </c:pt>
                <c:pt idx="1">
                  <c:v>57.372549019607845</c:v>
                </c:pt>
                <c:pt idx="2">
                  <c:v>53.803921568627452</c:v>
                </c:pt>
                <c:pt idx="3">
                  <c:v>53.803921568627452</c:v>
                </c:pt>
                <c:pt idx="4">
                  <c:v>53.803921568627452</c:v>
                </c:pt>
                <c:pt idx="5">
                  <c:v>53.803921568627452</c:v>
                </c:pt>
                <c:pt idx="6">
                  <c:v>32.117647058823529</c:v>
                </c:pt>
                <c:pt idx="7">
                  <c:v>32.117647058823529</c:v>
                </c:pt>
                <c:pt idx="8">
                  <c:v>32.117647058823529</c:v>
                </c:pt>
                <c:pt idx="9">
                  <c:v>32.117647058823529</c:v>
                </c:pt>
                <c:pt idx="10">
                  <c:v>14</c:v>
                </c:pt>
                <c:pt idx="11">
                  <c:v>14</c:v>
                </c:pt>
                <c:pt idx="12">
                  <c:v>14</c:v>
                </c:pt>
                <c:pt idx="13">
                  <c:v>14</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2-6735-43F7-9D1B-74EE46B0B998}"/>
            </c:ext>
          </c:extLst>
        </c:ser>
        <c:ser>
          <c:idx val="3"/>
          <c:order val="3"/>
          <c:tx>
            <c:strRef>
              <c:f>Iout_data!$E$61</c:f>
              <c:strCache>
                <c:ptCount val="1"/>
                <c:pt idx="0">
                  <c:v>Pass 4A</c:v>
                </c:pt>
              </c:strCache>
            </c:strRef>
          </c:tx>
          <c:spPr>
            <a:ln w="12700">
              <a:solidFill>
                <a:srgbClr val="00FFFF"/>
              </a:solidFill>
              <a:prstDash val="solid"/>
            </a:ln>
          </c:spPr>
          <c:marker>
            <c:symbol val="x"/>
            <c:size val="5"/>
            <c:spPr>
              <a:noFill/>
              <a:ln>
                <a:solidFill>
                  <a:srgbClr val="00FFFF"/>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Iout_data!$E$62:$E$77</c:f>
              <c:numCache>
                <c:formatCode>0.000</c:formatCode>
                <c:ptCount val="16"/>
                <c:pt idx="0">
                  <c:v>57.098039215686278</c:v>
                </c:pt>
                <c:pt idx="1">
                  <c:v>57.372549019607845</c:v>
                </c:pt>
                <c:pt idx="2">
                  <c:v>57.372549019607845</c:v>
                </c:pt>
                <c:pt idx="3">
                  <c:v>57.372549019607845</c:v>
                </c:pt>
                <c:pt idx="4">
                  <c:v>57.372549019607845</c:v>
                </c:pt>
                <c:pt idx="5">
                  <c:v>36.509803921568626</c:v>
                </c:pt>
                <c:pt idx="6">
                  <c:v>36.509803921568626</c:v>
                </c:pt>
                <c:pt idx="7">
                  <c:v>36.509803921568626</c:v>
                </c:pt>
                <c:pt idx="8">
                  <c:v>36.509803921568626</c:v>
                </c:pt>
                <c:pt idx="9">
                  <c:v>14.823529411764707</c:v>
                </c:pt>
                <c:pt idx="10">
                  <c:v>14.823529411764707</c:v>
                </c:pt>
                <c:pt idx="11">
                  <c:v>14.823529411764707</c:v>
                </c:pt>
                <c:pt idx="12">
                  <c:v>13.725490196078431</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3-6735-43F7-9D1B-74EE46B0B998}"/>
            </c:ext>
          </c:extLst>
        </c:ser>
        <c:ser>
          <c:idx val="4"/>
          <c:order val="4"/>
          <c:tx>
            <c:strRef>
              <c:f>Iout_data!$F$61</c:f>
              <c:strCache>
                <c:ptCount val="1"/>
                <c:pt idx="0">
                  <c:v>Pass 5A</c:v>
                </c:pt>
              </c:strCache>
            </c:strRef>
          </c:tx>
          <c:spPr>
            <a:ln w="12700">
              <a:solidFill>
                <a:srgbClr val="800080"/>
              </a:solidFill>
              <a:prstDash val="solid"/>
            </a:ln>
          </c:spPr>
          <c:marker>
            <c:symbol val="star"/>
            <c:size val="5"/>
            <c:spPr>
              <a:noFill/>
              <a:ln>
                <a:solidFill>
                  <a:srgbClr val="800080"/>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Iout_data!$F$62:$F$77</c:f>
              <c:numCache>
                <c:formatCode>0.000</c:formatCode>
                <c:ptCount val="16"/>
                <c:pt idx="0">
                  <c:v>57.372549019607845</c:v>
                </c:pt>
                <c:pt idx="1">
                  <c:v>57.372549019607845</c:v>
                </c:pt>
                <c:pt idx="2">
                  <c:v>57.372549019607845</c:v>
                </c:pt>
                <c:pt idx="3">
                  <c:v>57.372549019607845</c:v>
                </c:pt>
                <c:pt idx="4">
                  <c:v>57.372549019607845</c:v>
                </c:pt>
                <c:pt idx="5">
                  <c:v>36.235294117647058</c:v>
                </c:pt>
                <c:pt idx="6">
                  <c:v>36.235294117647058</c:v>
                </c:pt>
                <c:pt idx="7">
                  <c:v>36.235294117647058</c:v>
                </c:pt>
                <c:pt idx="8">
                  <c:v>36.235294117647058</c:v>
                </c:pt>
                <c:pt idx="9">
                  <c:v>14.549019607843137</c:v>
                </c:pt>
                <c:pt idx="10">
                  <c:v>14.549019607843137</c:v>
                </c:pt>
                <c:pt idx="11">
                  <c:v>14.549019607843137</c:v>
                </c:pt>
                <c:pt idx="12">
                  <c:v>14.549019607843137</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4-6735-43F7-9D1B-74EE46B0B998}"/>
            </c:ext>
          </c:extLst>
        </c:ser>
        <c:ser>
          <c:idx val="5"/>
          <c:order val="5"/>
          <c:tx>
            <c:strRef>
              <c:f>Iout_data!$G$61</c:f>
              <c:strCache>
                <c:ptCount val="1"/>
                <c:pt idx="0">
                  <c:v>Pass 6A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Iout_data!$G$62:$G$77</c:f>
              <c:numCache>
                <c:formatCode>0.000</c:formatCode>
                <c:ptCount val="16"/>
                <c:pt idx="0">
                  <c:v>57.372549019607845</c:v>
                </c:pt>
                <c:pt idx="1">
                  <c:v>57.372549019607845</c:v>
                </c:pt>
                <c:pt idx="2">
                  <c:v>57.372549019607845</c:v>
                </c:pt>
                <c:pt idx="3">
                  <c:v>57.372549019607845</c:v>
                </c:pt>
                <c:pt idx="4">
                  <c:v>57.372549019607845</c:v>
                </c:pt>
                <c:pt idx="5">
                  <c:v>36.509803921568626</c:v>
                </c:pt>
                <c:pt idx="6">
                  <c:v>36.509803921568626</c:v>
                </c:pt>
                <c:pt idx="7">
                  <c:v>36.509803921568626</c:v>
                </c:pt>
                <c:pt idx="8">
                  <c:v>36.509803921568626</c:v>
                </c:pt>
                <c:pt idx="9">
                  <c:v>14.823529411764707</c:v>
                </c:pt>
                <c:pt idx="10">
                  <c:v>14.823529411764707</c:v>
                </c:pt>
                <c:pt idx="11">
                  <c:v>14.823529411764707</c:v>
                </c:pt>
                <c:pt idx="12">
                  <c:v>13.725490196078431</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5-6735-43F7-9D1B-74EE46B0B998}"/>
            </c:ext>
          </c:extLst>
        </c:ser>
        <c:ser>
          <c:idx val="6"/>
          <c:order val="6"/>
          <c:tx>
            <c:strRef>
              <c:f>Iout_data!$H$61</c:f>
              <c:strCache>
                <c:ptCount val="1"/>
                <c:pt idx="0">
                  <c:v>Pass 7A</c:v>
                </c:pt>
              </c:strCache>
            </c:strRef>
          </c:tx>
          <c:spPr>
            <a:ln w="12700">
              <a:solidFill>
                <a:srgbClr val="008080"/>
              </a:solidFill>
              <a:prstDash val="solid"/>
            </a:ln>
          </c:spPr>
          <c:marker>
            <c:symbol val="plus"/>
            <c:size val="5"/>
            <c:spPr>
              <a:noFill/>
              <a:ln>
                <a:solidFill>
                  <a:srgbClr val="008080"/>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Iout_data!$H$62:$H$77</c:f>
              <c:numCache>
                <c:formatCode>0.000</c:formatCode>
                <c:ptCount val="16"/>
                <c:pt idx="0">
                  <c:v>57.098039215686278</c:v>
                </c:pt>
                <c:pt idx="1">
                  <c:v>57.372549019607845</c:v>
                </c:pt>
                <c:pt idx="2">
                  <c:v>57.372549019607845</c:v>
                </c:pt>
                <c:pt idx="3">
                  <c:v>57.372549019607845</c:v>
                </c:pt>
                <c:pt idx="4">
                  <c:v>57.372549019607845</c:v>
                </c:pt>
                <c:pt idx="5">
                  <c:v>36.235294117647058</c:v>
                </c:pt>
                <c:pt idx="6">
                  <c:v>36.235294117647058</c:v>
                </c:pt>
                <c:pt idx="7">
                  <c:v>36.235294117647058</c:v>
                </c:pt>
                <c:pt idx="8">
                  <c:v>36.235294117647058</c:v>
                </c:pt>
                <c:pt idx="9">
                  <c:v>14.274509803921569</c:v>
                </c:pt>
                <c:pt idx="10">
                  <c:v>14.274509803921569</c:v>
                </c:pt>
                <c:pt idx="11">
                  <c:v>14.274509803921569</c:v>
                </c:pt>
                <c:pt idx="12">
                  <c:v>14.274509803921569</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6-6735-43F7-9D1B-74EE46B0B998}"/>
            </c:ext>
          </c:extLst>
        </c:ser>
        <c:ser>
          <c:idx val="7"/>
          <c:order val="7"/>
          <c:tx>
            <c:strRef>
              <c:f>Iout_data!$I$61</c:f>
              <c:strCache>
                <c:ptCount val="1"/>
                <c:pt idx="0">
                  <c:v>Pass 8A</c:v>
                </c:pt>
              </c:strCache>
            </c:strRef>
          </c:tx>
          <c:spPr>
            <a:ln w="12700">
              <a:solidFill>
                <a:srgbClr val="0000FF"/>
              </a:solidFill>
              <a:prstDash val="solid"/>
            </a:ln>
          </c:spPr>
          <c:marker>
            <c:symbol val="dot"/>
            <c:size val="5"/>
            <c:spPr>
              <a:noFill/>
              <a:ln>
                <a:solidFill>
                  <a:srgbClr val="0000FF"/>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Iout_data!$I$62:$I$77</c:f>
              <c:numCache>
                <c:formatCode>0.000</c:formatCode>
                <c:ptCount val="16"/>
                <c:pt idx="0">
                  <c:v>57.372549019607845</c:v>
                </c:pt>
                <c:pt idx="1">
                  <c:v>57.372549019607845</c:v>
                </c:pt>
                <c:pt idx="2">
                  <c:v>57.372549019607845</c:v>
                </c:pt>
                <c:pt idx="3">
                  <c:v>57.372549019607845</c:v>
                </c:pt>
                <c:pt idx="4">
                  <c:v>57.372549019607845</c:v>
                </c:pt>
                <c:pt idx="5">
                  <c:v>36.235294117647058</c:v>
                </c:pt>
                <c:pt idx="6">
                  <c:v>36.235294117647058</c:v>
                </c:pt>
                <c:pt idx="7">
                  <c:v>36.235294117647058</c:v>
                </c:pt>
                <c:pt idx="8">
                  <c:v>36.235294117647058</c:v>
                </c:pt>
                <c:pt idx="9">
                  <c:v>14.549019607843137</c:v>
                </c:pt>
                <c:pt idx="10">
                  <c:v>14.549019607843137</c:v>
                </c:pt>
                <c:pt idx="11">
                  <c:v>14.549019607843137</c:v>
                </c:pt>
                <c:pt idx="12">
                  <c:v>14.549019607843137</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7-6735-43F7-9D1B-74EE46B0B998}"/>
            </c:ext>
          </c:extLst>
        </c:ser>
        <c:ser>
          <c:idx val="8"/>
          <c:order val="8"/>
          <c:tx>
            <c:strRef>
              <c:f>Iout_data!$J$61</c:f>
              <c:strCache>
                <c:ptCount val="1"/>
                <c:pt idx="0">
                  <c:v>Pass 9A</c:v>
                </c:pt>
              </c:strCache>
            </c:strRef>
          </c:tx>
          <c:spPr>
            <a:ln w="12700">
              <a:solidFill>
                <a:srgbClr val="00CCFF"/>
              </a:solidFill>
              <a:prstDash val="solid"/>
            </a:ln>
          </c:spPr>
          <c:marker>
            <c:symbol val="dash"/>
            <c:size val="5"/>
            <c:spPr>
              <a:noFill/>
              <a:ln>
                <a:solidFill>
                  <a:srgbClr val="00CCFF"/>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Iout_data!$J$62:$J$77</c:f>
              <c:numCache>
                <c:formatCode>0.000</c:formatCode>
                <c:ptCount val="16"/>
                <c:pt idx="0">
                  <c:v>57.372549019607845</c:v>
                </c:pt>
                <c:pt idx="1">
                  <c:v>57.372549019607845</c:v>
                </c:pt>
                <c:pt idx="2">
                  <c:v>57.372549019607845</c:v>
                </c:pt>
                <c:pt idx="3">
                  <c:v>57.372549019607845</c:v>
                </c:pt>
                <c:pt idx="4">
                  <c:v>57.372549019607845</c:v>
                </c:pt>
                <c:pt idx="5">
                  <c:v>57.372549019607845</c:v>
                </c:pt>
                <c:pt idx="6">
                  <c:v>35.686274509803923</c:v>
                </c:pt>
                <c:pt idx="7">
                  <c:v>35.686274509803923</c:v>
                </c:pt>
                <c:pt idx="8">
                  <c:v>35.686274509803923</c:v>
                </c:pt>
                <c:pt idx="9">
                  <c:v>35.686274509803923</c:v>
                </c:pt>
                <c:pt idx="10">
                  <c:v>14</c:v>
                </c:pt>
                <c:pt idx="11">
                  <c:v>14</c:v>
                </c:pt>
                <c:pt idx="12">
                  <c:v>14</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8-6735-43F7-9D1B-74EE46B0B998}"/>
            </c:ext>
          </c:extLst>
        </c:ser>
        <c:ser>
          <c:idx val="9"/>
          <c:order val="9"/>
          <c:tx>
            <c:strRef>
              <c:f>Iout_data!$K$61</c:f>
              <c:strCache>
                <c:ptCount val="1"/>
                <c:pt idx="0">
                  <c:v>Pass 10A</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Iout_data!$A$62:$A$77</c:f>
              <c:numCache>
                <c:formatCode>0.000</c:formatCode>
                <c:ptCount val="16"/>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numCache>
            </c:numRef>
          </c:xVal>
          <c:yVal>
            <c:numRef>
              <c:f>Iout_data!$K$62:$K$77</c:f>
              <c:numCache>
                <c:formatCode>0.000</c:formatCode>
                <c:ptCount val="16"/>
                <c:pt idx="0">
                  <c:v>57.372549019607845</c:v>
                </c:pt>
                <c:pt idx="1">
                  <c:v>57.372549019607845</c:v>
                </c:pt>
                <c:pt idx="2">
                  <c:v>57.372549019607845</c:v>
                </c:pt>
                <c:pt idx="3">
                  <c:v>57.372549019607845</c:v>
                </c:pt>
                <c:pt idx="4">
                  <c:v>57.372549019607845</c:v>
                </c:pt>
                <c:pt idx="5">
                  <c:v>57.372549019607845</c:v>
                </c:pt>
                <c:pt idx="6">
                  <c:v>35.96078431372549</c:v>
                </c:pt>
                <c:pt idx="7">
                  <c:v>35.96078431372549</c:v>
                </c:pt>
                <c:pt idx="8">
                  <c:v>35.96078431372549</c:v>
                </c:pt>
                <c:pt idx="9">
                  <c:v>14</c:v>
                </c:pt>
                <c:pt idx="10">
                  <c:v>14</c:v>
                </c:pt>
                <c:pt idx="11">
                  <c:v>14</c:v>
                </c:pt>
                <c:pt idx="12">
                  <c:v>14</c:v>
                </c:pt>
                <c:pt idx="13">
                  <c:v>13.725490196078431</c:v>
                </c:pt>
                <c:pt idx="14">
                  <c:v>13.725490196078431</c:v>
                </c:pt>
                <c:pt idx="15">
                  <c:v>13.725490196078431</c:v>
                </c:pt>
              </c:numCache>
            </c:numRef>
          </c:yVal>
          <c:extLst xmlns:c16r2="http://schemas.microsoft.com/office/drawing/2015/06/chart">
            <c:ext xmlns:c16="http://schemas.microsoft.com/office/drawing/2014/chart" uri="{C3380CC4-5D6E-409C-BE32-E72D297353CC}">
              <c16:uniqueId val="{00000009-6735-43F7-9D1B-74EE46B0B998}"/>
            </c:ext>
          </c:extLst>
        </c:ser>
        <c:ser>
          <c:idx val="10"/>
          <c:order val="10"/>
          <c:tx>
            <c:strRef>
              <c:f>Iout_data!$B$82</c:f>
              <c:strCache>
                <c:ptCount val="1"/>
                <c:pt idx="0">
                  <c:v>Pass1B</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Iout_data!$B$83:$B$98</c:f>
              <c:numCache>
                <c:formatCode>0.000</c:formatCode>
                <c:ptCount val="16"/>
                <c:pt idx="0">
                  <c:v>13.725490196078431</c:v>
                </c:pt>
                <c:pt idx="1">
                  <c:v>13.725490196078431</c:v>
                </c:pt>
                <c:pt idx="2">
                  <c:v>13.725490196078431</c:v>
                </c:pt>
                <c:pt idx="3">
                  <c:v>13.725490196078431</c:v>
                </c:pt>
                <c:pt idx="4">
                  <c:v>13.725490196078431</c:v>
                </c:pt>
                <c:pt idx="5">
                  <c:v>34.862745098039213</c:v>
                </c:pt>
                <c:pt idx="6">
                  <c:v>34.862745098039213</c:v>
                </c:pt>
                <c:pt idx="7">
                  <c:v>34.862745098039213</c:v>
                </c:pt>
                <c:pt idx="8">
                  <c:v>34.862745098039213</c:v>
                </c:pt>
                <c:pt idx="9">
                  <c:v>56.549019607843135</c:v>
                </c:pt>
                <c:pt idx="10">
                  <c:v>56.549019607843135</c:v>
                </c:pt>
                <c:pt idx="11">
                  <c:v>56.549019607843135</c:v>
                </c:pt>
                <c:pt idx="12">
                  <c:v>56.549019607843135</c:v>
                </c:pt>
                <c:pt idx="13">
                  <c:v>57.098039215686278</c:v>
                </c:pt>
                <c:pt idx="14">
                  <c:v>57.098039215686278</c:v>
                </c:pt>
                <c:pt idx="15">
                  <c:v>57.098039215686278</c:v>
                </c:pt>
              </c:numCache>
            </c:numRef>
          </c:yVal>
          <c:extLst xmlns:c16r2="http://schemas.microsoft.com/office/drawing/2015/06/chart">
            <c:ext xmlns:c16="http://schemas.microsoft.com/office/drawing/2014/chart" uri="{C3380CC4-5D6E-409C-BE32-E72D297353CC}">
              <c16:uniqueId val="{0000000A-6735-43F7-9D1B-74EE46B0B998}"/>
            </c:ext>
          </c:extLst>
        </c:ser>
        <c:ser>
          <c:idx val="11"/>
          <c:order val="11"/>
          <c:tx>
            <c:strRef>
              <c:f>Iout_data!$C$82</c:f>
              <c:strCache>
                <c:ptCount val="1"/>
                <c:pt idx="0">
                  <c:v>Pass 2B</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Iout_data!$C$83:$C$98</c:f>
              <c:numCache>
                <c:formatCode>0.000</c:formatCode>
                <c:ptCount val="16"/>
                <c:pt idx="0">
                  <c:v>13.725490196078431</c:v>
                </c:pt>
                <c:pt idx="1">
                  <c:v>13.725490196078431</c:v>
                </c:pt>
                <c:pt idx="2">
                  <c:v>15.372549019607844</c:v>
                </c:pt>
                <c:pt idx="3">
                  <c:v>15.372549019607844</c:v>
                </c:pt>
                <c:pt idx="4">
                  <c:v>15.372549019607844</c:v>
                </c:pt>
                <c:pt idx="5">
                  <c:v>15.372549019607844</c:v>
                </c:pt>
                <c:pt idx="6">
                  <c:v>36.784313725490193</c:v>
                </c:pt>
                <c:pt idx="7">
                  <c:v>36.784313725490193</c:v>
                </c:pt>
                <c:pt idx="8">
                  <c:v>36.784313725490193</c:v>
                </c:pt>
                <c:pt idx="9">
                  <c:v>36.784313725490193</c:v>
                </c:pt>
                <c:pt idx="10">
                  <c:v>56.823529411764703</c:v>
                </c:pt>
                <c:pt idx="11">
                  <c:v>56.823529411764703</c:v>
                </c:pt>
                <c:pt idx="12">
                  <c:v>56.823529411764703</c:v>
                </c:pt>
                <c:pt idx="13">
                  <c:v>57.098039215686278</c:v>
                </c:pt>
                <c:pt idx="14">
                  <c:v>57.098039215686278</c:v>
                </c:pt>
                <c:pt idx="15">
                  <c:v>57.098039215686278</c:v>
                </c:pt>
              </c:numCache>
            </c:numRef>
          </c:yVal>
          <c:extLst xmlns:c16r2="http://schemas.microsoft.com/office/drawing/2015/06/chart">
            <c:ext xmlns:c16="http://schemas.microsoft.com/office/drawing/2014/chart" uri="{C3380CC4-5D6E-409C-BE32-E72D297353CC}">
              <c16:uniqueId val="{0000000B-6735-43F7-9D1B-74EE46B0B998}"/>
            </c:ext>
          </c:extLst>
        </c:ser>
        <c:ser>
          <c:idx val="12"/>
          <c:order val="12"/>
          <c:tx>
            <c:strRef>
              <c:f>Iout_data!$D$82</c:f>
              <c:strCache>
                <c:ptCount val="1"/>
                <c:pt idx="0">
                  <c:v>Pass 3B</c:v>
                </c:pt>
              </c:strCache>
            </c:strRef>
          </c:tx>
          <c:spPr>
            <a:ln w="12700">
              <a:solidFill>
                <a:srgbClr val="99CCFF"/>
              </a:solidFill>
              <a:prstDash val="solid"/>
            </a:ln>
          </c:spPr>
          <c:marker>
            <c:symbol val="x"/>
            <c:size val="5"/>
            <c:spPr>
              <a:noFill/>
              <a:ln>
                <a:solidFill>
                  <a:srgbClr val="99CCFF"/>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Iout_data!$D$83:$D$98</c:f>
              <c:numCache>
                <c:formatCode>0.000</c:formatCode>
                <c:ptCount val="16"/>
                <c:pt idx="0">
                  <c:v>13.725490196078431</c:v>
                </c:pt>
                <c:pt idx="1">
                  <c:v>13.725490196078431</c:v>
                </c:pt>
                <c:pt idx="2">
                  <c:v>13.725490196078431</c:v>
                </c:pt>
                <c:pt idx="3">
                  <c:v>13.725490196078431</c:v>
                </c:pt>
                <c:pt idx="4">
                  <c:v>13.725490196078431</c:v>
                </c:pt>
                <c:pt idx="5">
                  <c:v>34.862745098039213</c:v>
                </c:pt>
                <c:pt idx="6">
                  <c:v>34.862745098039213</c:v>
                </c:pt>
                <c:pt idx="7">
                  <c:v>34.862745098039213</c:v>
                </c:pt>
                <c:pt idx="8">
                  <c:v>34.862745098039213</c:v>
                </c:pt>
                <c:pt idx="9">
                  <c:v>56.549019607843135</c:v>
                </c:pt>
                <c:pt idx="10">
                  <c:v>56.549019607843135</c:v>
                </c:pt>
                <c:pt idx="11">
                  <c:v>56.549019607843135</c:v>
                </c:pt>
                <c:pt idx="12">
                  <c:v>56.549019607843135</c:v>
                </c:pt>
                <c:pt idx="13">
                  <c:v>57.372549019607845</c:v>
                </c:pt>
                <c:pt idx="14">
                  <c:v>57.372549019607845</c:v>
                </c:pt>
                <c:pt idx="15">
                  <c:v>57.372549019607845</c:v>
                </c:pt>
              </c:numCache>
            </c:numRef>
          </c:yVal>
          <c:extLst xmlns:c16r2="http://schemas.microsoft.com/office/drawing/2015/06/chart">
            <c:ext xmlns:c16="http://schemas.microsoft.com/office/drawing/2014/chart" uri="{C3380CC4-5D6E-409C-BE32-E72D297353CC}">
              <c16:uniqueId val="{0000000C-6735-43F7-9D1B-74EE46B0B998}"/>
            </c:ext>
          </c:extLst>
        </c:ser>
        <c:ser>
          <c:idx val="13"/>
          <c:order val="13"/>
          <c:tx>
            <c:strRef>
              <c:f>Iout_data!$E$82</c:f>
              <c:strCache>
                <c:ptCount val="1"/>
                <c:pt idx="0">
                  <c:v>Pass 4B</c:v>
                </c:pt>
              </c:strCache>
            </c:strRef>
          </c:tx>
          <c:spPr>
            <a:ln w="12700">
              <a:solidFill>
                <a:srgbClr val="FF99CC"/>
              </a:solidFill>
              <a:prstDash val="solid"/>
            </a:ln>
          </c:spPr>
          <c:marker>
            <c:symbol val="star"/>
            <c:size val="5"/>
            <c:spPr>
              <a:noFill/>
              <a:ln>
                <a:solidFill>
                  <a:srgbClr val="FF99CC"/>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Iout_data!$E$83:$E$98</c:f>
              <c:numCache>
                <c:formatCode>0.000</c:formatCode>
                <c:ptCount val="16"/>
                <c:pt idx="0">
                  <c:v>13.725490196078431</c:v>
                </c:pt>
                <c:pt idx="1">
                  <c:v>13.725490196078431</c:v>
                </c:pt>
                <c:pt idx="2">
                  <c:v>13.725490196078431</c:v>
                </c:pt>
                <c:pt idx="3">
                  <c:v>13.725490196078431</c:v>
                </c:pt>
                <c:pt idx="4">
                  <c:v>13.725490196078431</c:v>
                </c:pt>
                <c:pt idx="5">
                  <c:v>13.725490196078431</c:v>
                </c:pt>
                <c:pt idx="6">
                  <c:v>35.137254901960787</c:v>
                </c:pt>
                <c:pt idx="7">
                  <c:v>35.137254901960787</c:v>
                </c:pt>
                <c:pt idx="8">
                  <c:v>35.137254901960787</c:v>
                </c:pt>
                <c:pt idx="9">
                  <c:v>56.823529411764703</c:v>
                </c:pt>
                <c:pt idx="10">
                  <c:v>56.823529411764703</c:v>
                </c:pt>
                <c:pt idx="11">
                  <c:v>56.823529411764703</c:v>
                </c:pt>
                <c:pt idx="12">
                  <c:v>56.823529411764703</c:v>
                </c:pt>
                <c:pt idx="13">
                  <c:v>57.098039215686278</c:v>
                </c:pt>
                <c:pt idx="14">
                  <c:v>57.098039215686278</c:v>
                </c:pt>
                <c:pt idx="15">
                  <c:v>57.098039215686278</c:v>
                </c:pt>
              </c:numCache>
            </c:numRef>
          </c:yVal>
          <c:extLst xmlns:c16r2="http://schemas.microsoft.com/office/drawing/2015/06/chart">
            <c:ext xmlns:c16="http://schemas.microsoft.com/office/drawing/2014/chart" uri="{C3380CC4-5D6E-409C-BE32-E72D297353CC}">
              <c16:uniqueId val="{0000000D-6735-43F7-9D1B-74EE46B0B998}"/>
            </c:ext>
          </c:extLst>
        </c:ser>
        <c:ser>
          <c:idx val="14"/>
          <c:order val="14"/>
          <c:tx>
            <c:strRef>
              <c:f>Iout_data!$F$82</c:f>
              <c:strCache>
                <c:ptCount val="1"/>
                <c:pt idx="0">
                  <c:v>Pass 5B</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Iout_data!$F$83:$F$98</c:f>
              <c:numCache>
                <c:formatCode>0.000</c:formatCode>
                <c:ptCount val="16"/>
                <c:pt idx="0">
                  <c:v>13.725490196078431</c:v>
                </c:pt>
                <c:pt idx="1">
                  <c:v>13.725490196078431</c:v>
                </c:pt>
                <c:pt idx="2">
                  <c:v>13.725490196078431</c:v>
                </c:pt>
                <c:pt idx="3">
                  <c:v>13.725490196078431</c:v>
                </c:pt>
                <c:pt idx="4">
                  <c:v>13.725490196078431</c:v>
                </c:pt>
                <c:pt idx="5">
                  <c:v>34.862745098039213</c:v>
                </c:pt>
                <c:pt idx="6">
                  <c:v>34.862745098039213</c:v>
                </c:pt>
                <c:pt idx="7">
                  <c:v>34.862745098039213</c:v>
                </c:pt>
                <c:pt idx="8">
                  <c:v>34.862745098039213</c:v>
                </c:pt>
                <c:pt idx="9">
                  <c:v>56.549019607843135</c:v>
                </c:pt>
                <c:pt idx="10">
                  <c:v>56.549019607843135</c:v>
                </c:pt>
                <c:pt idx="11">
                  <c:v>56.549019607843135</c:v>
                </c:pt>
                <c:pt idx="12">
                  <c:v>56.549019607843135</c:v>
                </c:pt>
                <c:pt idx="13">
                  <c:v>57.372549019607845</c:v>
                </c:pt>
                <c:pt idx="14">
                  <c:v>57.372549019607845</c:v>
                </c:pt>
                <c:pt idx="15">
                  <c:v>57.372549019607845</c:v>
                </c:pt>
              </c:numCache>
            </c:numRef>
          </c:yVal>
          <c:extLst xmlns:c16r2="http://schemas.microsoft.com/office/drawing/2015/06/chart">
            <c:ext xmlns:c16="http://schemas.microsoft.com/office/drawing/2014/chart" uri="{C3380CC4-5D6E-409C-BE32-E72D297353CC}">
              <c16:uniqueId val="{0000000E-6735-43F7-9D1B-74EE46B0B998}"/>
            </c:ext>
          </c:extLst>
        </c:ser>
        <c:ser>
          <c:idx val="15"/>
          <c:order val="15"/>
          <c:tx>
            <c:strRef>
              <c:f>Iout_data!$G$82</c:f>
              <c:strCache>
                <c:ptCount val="1"/>
                <c:pt idx="0">
                  <c:v>Pass 6B</c:v>
                </c:pt>
              </c:strCache>
            </c:strRef>
          </c:tx>
          <c:spPr>
            <a:ln w="12700">
              <a:solidFill>
                <a:srgbClr val="FFCC99"/>
              </a:solidFill>
              <a:prstDash val="solid"/>
            </a:ln>
          </c:spPr>
          <c:marker>
            <c:symbol val="plus"/>
            <c:size val="5"/>
            <c:spPr>
              <a:noFill/>
              <a:ln>
                <a:solidFill>
                  <a:srgbClr val="FFCC99"/>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Iout_data!$G$83:$G$98</c:f>
              <c:numCache>
                <c:formatCode>0.000</c:formatCode>
                <c:ptCount val="16"/>
                <c:pt idx="0">
                  <c:v>13.725490196078431</c:v>
                </c:pt>
                <c:pt idx="1">
                  <c:v>13.725490196078431</c:v>
                </c:pt>
                <c:pt idx="2">
                  <c:v>17.568627450980394</c:v>
                </c:pt>
                <c:pt idx="3">
                  <c:v>17.568627450980394</c:v>
                </c:pt>
                <c:pt idx="4">
                  <c:v>17.568627450980394</c:v>
                </c:pt>
                <c:pt idx="5">
                  <c:v>17.568627450980394</c:v>
                </c:pt>
                <c:pt idx="6">
                  <c:v>39.254901960784316</c:v>
                </c:pt>
                <c:pt idx="7">
                  <c:v>39.254901960784316</c:v>
                </c:pt>
                <c:pt idx="8">
                  <c:v>39.254901960784316</c:v>
                </c:pt>
                <c:pt idx="9">
                  <c:v>39.254901960784316</c:v>
                </c:pt>
                <c:pt idx="10">
                  <c:v>56.823529411764703</c:v>
                </c:pt>
                <c:pt idx="11">
                  <c:v>56.823529411764703</c:v>
                </c:pt>
                <c:pt idx="12">
                  <c:v>56.823529411764703</c:v>
                </c:pt>
                <c:pt idx="13">
                  <c:v>57.372549019607845</c:v>
                </c:pt>
                <c:pt idx="14">
                  <c:v>57.372549019607845</c:v>
                </c:pt>
                <c:pt idx="15">
                  <c:v>57.372549019607845</c:v>
                </c:pt>
              </c:numCache>
            </c:numRef>
          </c:yVal>
          <c:extLst xmlns:c16r2="http://schemas.microsoft.com/office/drawing/2015/06/chart">
            <c:ext xmlns:c16="http://schemas.microsoft.com/office/drawing/2014/chart" uri="{C3380CC4-5D6E-409C-BE32-E72D297353CC}">
              <c16:uniqueId val="{0000000F-6735-43F7-9D1B-74EE46B0B998}"/>
            </c:ext>
          </c:extLst>
        </c:ser>
        <c:ser>
          <c:idx val="16"/>
          <c:order val="16"/>
          <c:tx>
            <c:strRef>
              <c:f>Iout_data!$H$82</c:f>
              <c:strCache>
                <c:ptCount val="1"/>
                <c:pt idx="0">
                  <c:v>Pass 7B</c:v>
                </c:pt>
              </c:strCache>
            </c:strRef>
          </c:tx>
          <c:spPr>
            <a:ln w="12700">
              <a:solidFill>
                <a:srgbClr val="3366FF"/>
              </a:solidFill>
              <a:prstDash val="solid"/>
            </a:ln>
          </c:spPr>
          <c:marker>
            <c:symbol val="dot"/>
            <c:size val="5"/>
            <c:spPr>
              <a:noFill/>
              <a:ln>
                <a:solidFill>
                  <a:srgbClr val="3366FF"/>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Iout_data!$H$83:$H$98</c:f>
              <c:numCache>
                <c:formatCode>0.000</c:formatCode>
                <c:ptCount val="16"/>
                <c:pt idx="0">
                  <c:v>13.725490196078431</c:v>
                </c:pt>
                <c:pt idx="1">
                  <c:v>13.725490196078431</c:v>
                </c:pt>
                <c:pt idx="2">
                  <c:v>13.725490196078431</c:v>
                </c:pt>
                <c:pt idx="3">
                  <c:v>13.725490196078431</c:v>
                </c:pt>
                <c:pt idx="4">
                  <c:v>13.725490196078431</c:v>
                </c:pt>
                <c:pt idx="5">
                  <c:v>34.588235294117645</c:v>
                </c:pt>
                <c:pt idx="6">
                  <c:v>34.588235294117645</c:v>
                </c:pt>
                <c:pt idx="7">
                  <c:v>34.588235294117645</c:v>
                </c:pt>
                <c:pt idx="8">
                  <c:v>34.588235294117645</c:v>
                </c:pt>
                <c:pt idx="9">
                  <c:v>56.274509803921568</c:v>
                </c:pt>
                <c:pt idx="10">
                  <c:v>56.274509803921568</c:v>
                </c:pt>
                <c:pt idx="11">
                  <c:v>56.274509803921568</c:v>
                </c:pt>
                <c:pt idx="12">
                  <c:v>56.274509803921568</c:v>
                </c:pt>
                <c:pt idx="13">
                  <c:v>57.098039215686278</c:v>
                </c:pt>
                <c:pt idx="14">
                  <c:v>57.098039215686278</c:v>
                </c:pt>
                <c:pt idx="15">
                  <c:v>57.098039215686278</c:v>
                </c:pt>
              </c:numCache>
            </c:numRef>
          </c:yVal>
          <c:extLst xmlns:c16r2="http://schemas.microsoft.com/office/drawing/2015/06/chart">
            <c:ext xmlns:c16="http://schemas.microsoft.com/office/drawing/2014/chart" uri="{C3380CC4-5D6E-409C-BE32-E72D297353CC}">
              <c16:uniqueId val="{00000010-6735-43F7-9D1B-74EE46B0B998}"/>
            </c:ext>
          </c:extLst>
        </c:ser>
        <c:ser>
          <c:idx val="17"/>
          <c:order val="17"/>
          <c:tx>
            <c:strRef>
              <c:f>Iout_data!$I$82</c:f>
              <c:strCache>
                <c:ptCount val="1"/>
                <c:pt idx="0">
                  <c:v>Pass 8B</c:v>
                </c:pt>
              </c:strCache>
            </c:strRef>
          </c:tx>
          <c:spPr>
            <a:ln w="12700">
              <a:solidFill>
                <a:srgbClr val="33CCCC"/>
              </a:solidFill>
              <a:prstDash val="solid"/>
            </a:ln>
          </c:spPr>
          <c:marker>
            <c:symbol val="dash"/>
            <c:size val="5"/>
            <c:spPr>
              <a:noFill/>
              <a:ln>
                <a:solidFill>
                  <a:srgbClr val="33CCCC"/>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Iout_data!$I$83:$I$98</c:f>
              <c:numCache>
                <c:formatCode>0.000</c:formatCode>
                <c:ptCount val="16"/>
                <c:pt idx="0">
                  <c:v>13.725490196078431</c:v>
                </c:pt>
                <c:pt idx="1">
                  <c:v>13.725490196078431</c:v>
                </c:pt>
                <c:pt idx="2">
                  <c:v>13.725490196078431</c:v>
                </c:pt>
                <c:pt idx="3">
                  <c:v>13.725490196078431</c:v>
                </c:pt>
                <c:pt idx="4">
                  <c:v>13.725490196078431</c:v>
                </c:pt>
                <c:pt idx="5">
                  <c:v>34.588235294117645</c:v>
                </c:pt>
                <c:pt idx="6">
                  <c:v>34.588235294117645</c:v>
                </c:pt>
                <c:pt idx="7">
                  <c:v>34.588235294117645</c:v>
                </c:pt>
                <c:pt idx="8">
                  <c:v>34.588235294117645</c:v>
                </c:pt>
                <c:pt idx="9">
                  <c:v>56.274509803921568</c:v>
                </c:pt>
                <c:pt idx="10">
                  <c:v>56.274509803921568</c:v>
                </c:pt>
                <c:pt idx="11">
                  <c:v>56.274509803921568</c:v>
                </c:pt>
                <c:pt idx="12">
                  <c:v>57.372549019607845</c:v>
                </c:pt>
                <c:pt idx="13">
                  <c:v>57.372549019607845</c:v>
                </c:pt>
                <c:pt idx="14">
                  <c:v>57.372549019607845</c:v>
                </c:pt>
                <c:pt idx="15">
                  <c:v>57.372549019607845</c:v>
                </c:pt>
              </c:numCache>
            </c:numRef>
          </c:yVal>
          <c:extLst xmlns:c16r2="http://schemas.microsoft.com/office/drawing/2015/06/chart">
            <c:ext xmlns:c16="http://schemas.microsoft.com/office/drawing/2014/chart" uri="{C3380CC4-5D6E-409C-BE32-E72D297353CC}">
              <c16:uniqueId val="{00000011-6735-43F7-9D1B-74EE46B0B998}"/>
            </c:ext>
          </c:extLst>
        </c:ser>
        <c:ser>
          <c:idx val="18"/>
          <c:order val="18"/>
          <c:tx>
            <c:strRef>
              <c:f>Iout_data!$J$82</c:f>
              <c:strCache>
                <c:ptCount val="1"/>
                <c:pt idx="0">
                  <c:v>Pass 9B</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Iout_data!$J$83:$J$98</c:f>
              <c:numCache>
                <c:formatCode>0.000</c:formatCode>
                <c:ptCount val="16"/>
                <c:pt idx="0">
                  <c:v>13.725490196078431</c:v>
                </c:pt>
                <c:pt idx="1">
                  <c:v>13.725490196078431</c:v>
                </c:pt>
                <c:pt idx="2">
                  <c:v>13.725490196078431</c:v>
                </c:pt>
                <c:pt idx="3">
                  <c:v>13.725490196078431</c:v>
                </c:pt>
                <c:pt idx="4">
                  <c:v>13.725490196078431</c:v>
                </c:pt>
                <c:pt idx="5">
                  <c:v>34.862745098039213</c:v>
                </c:pt>
                <c:pt idx="6">
                  <c:v>34.862745098039213</c:v>
                </c:pt>
                <c:pt idx="7">
                  <c:v>34.862745098039213</c:v>
                </c:pt>
                <c:pt idx="8">
                  <c:v>34.862745098039213</c:v>
                </c:pt>
                <c:pt idx="9">
                  <c:v>56.549019607843135</c:v>
                </c:pt>
                <c:pt idx="10">
                  <c:v>56.549019607843135</c:v>
                </c:pt>
                <c:pt idx="11">
                  <c:v>56.549019607843135</c:v>
                </c:pt>
                <c:pt idx="12">
                  <c:v>56.549019607843135</c:v>
                </c:pt>
                <c:pt idx="13">
                  <c:v>57.098039215686278</c:v>
                </c:pt>
                <c:pt idx="14">
                  <c:v>57.098039215686278</c:v>
                </c:pt>
                <c:pt idx="15">
                  <c:v>57.098039215686278</c:v>
                </c:pt>
              </c:numCache>
            </c:numRef>
          </c:yVal>
          <c:extLst xmlns:c16r2="http://schemas.microsoft.com/office/drawing/2015/06/chart">
            <c:ext xmlns:c16="http://schemas.microsoft.com/office/drawing/2014/chart" uri="{C3380CC4-5D6E-409C-BE32-E72D297353CC}">
              <c16:uniqueId val="{00000012-6735-43F7-9D1B-74EE46B0B998}"/>
            </c:ext>
          </c:extLst>
        </c:ser>
        <c:ser>
          <c:idx val="19"/>
          <c:order val="19"/>
          <c:tx>
            <c:strRef>
              <c:f>Iout_data!$K$82</c:f>
              <c:strCache>
                <c:ptCount val="1"/>
                <c:pt idx="0">
                  <c:v>Pass 10B</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Iout_data!$A$83:$A$98</c:f>
              <c:numCache>
                <c:formatCode>0.000</c:formatCode>
                <c:ptCount val="1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numCache>
            </c:numRef>
          </c:xVal>
          <c:yVal>
            <c:numRef>
              <c:f>Iout_data!$K$83:$K$98</c:f>
              <c:numCache>
                <c:formatCode>0.000</c:formatCode>
                <c:ptCount val="16"/>
                <c:pt idx="0">
                  <c:v>13.725490196078431</c:v>
                </c:pt>
                <c:pt idx="1">
                  <c:v>13.725490196078431</c:v>
                </c:pt>
                <c:pt idx="2">
                  <c:v>13.725490196078431</c:v>
                </c:pt>
                <c:pt idx="3">
                  <c:v>13.725490196078431</c:v>
                </c:pt>
                <c:pt idx="4">
                  <c:v>13.725490196078431</c:v>
                </c:pt>
                <c:pt idx="5">
                  <c:v>34.588235294117645</c:v>
                </c:pt>
                <c:pt idx="6">
                  <c:v>34.588235294117645</c:v>
                </c:pt>
                <c:pt idx="7">
                  <c:v>34.588235294117645</c:v>
                </c:pt>
                <c:pt idx="8">
                  <c:v>34.588235294117645</c:v>
                </c:pt>
                <c:pt idx="9">
                  <c:v>56.274509803921568</c:v>
                </c:pt>
                <c:pt idx="10">
                  <c:v>56.274509803921568</c:v>
                </c:pt>
                <c:pt idx="11">
                  <c:v>56.274509803921568</c:v>
                </c:pt>
                <c:pt idx="12">
                  <c:v>57.098039215686278</c:v>
                </c:pt>
                <c:pt idx="13">
                  <c:v>57.098039215686278</c:v>
                </c:pt>
                <c:pt idx="14">
                  <c:v>57.098039215686278</c:v>
                </c:pt>
                <c:pt idx="15">
                  <c:v>57.098039215686278</c:v>
                </c:pt>
              </c:numCache>
            </c:numRef>
          </c:yVal>
          <c:extLst xmlns:c16r2="http://schemas.microsoft.com/office/drawing/2015/06/chart">
            <c:ext xmlns:c16="http://schemas.microsoft.com/office/drawing/2014/chart" uri="{C3380CC4-5D6E-409C-BE32-E72D297353CC}">
              <c16:uniqueId val="{00000013-6735-43F7-9D1B-74EE46B0B998}"/>
            </c:ext>
          </c:extLst>
        </c:ser>
        <c:axId val="96406912"/>
        <c:axId val="96421376"/>
      </c:scatterChart>
      <c:valAx>
        <c:axId val="96406912"/>
        <c:scaling>
          <c:orientation val="minMax"/>
          <c:min val="0"/>
        </c:scaling>
        <c:axPos val="b"/>
        <c:majorGridlines/>
        <c:title>
          <c:tx>
            <c:rich>
              <a:bodyPr/>
              <a:lstStyle/>
              <a:p>
                <a:pPr>
                  <a:defRPr sz="1000" b="1" i="0" u="none" strike="noStrike" baseline="0">
                    <a:solidFill>
                      <a:srgbClr val="000000"/>
                    </a:solidFill>
                    <a:latin typeface="Arial"/>
                    <a:ea typeface="Arial"/>
                    <a:cs typeface="Arial"/>
                  </a:defRPr>
                </a:pPr>
                <a:r>
                  <a:rPr lang="en-US"/>
                  <a:t>Time (uS)</a:t>
                </a:r>
              </a:p>
            </c:rich>
          </c:tx>
          <c:layout>
            <c:manualLayout>
              <c:xMode val="edge"/>
              <c:yMode val="edge"/>
              <c:x val="0.42882566345873463"/>
              <c:y val="0.94502616094556757"/>
            </c:manualLayout>
          </c:layout>
          <c:spPr>
            <a:noFill/>
            <a:ln w="25400">
              <a:noFill/>
            </a:ln>
          </c:spPr>
        </c:title>
        <c:numFmt formatCode="0.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421376"/>
        <c:crosses val="autoZero"/>
        <c:crossBetween val="midCat"/>
      </c:valAx>
      <c:valAx>
        <c:axId val="96421376"/>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Computed Current (A)</a:t>
                </a:r>
              </a:p>
            </c:rich>
          </c:tx>
          <c:layout>
            <c:manualLayout>
              <c:xMode val="edge"/>
              <c:yMode val="edge"/>
              <c:x val="1.0676115485564307E-2"/>
              <c:y val="0.39267013191978523"/>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406912"/>
        <c:crosses val="autoZero"/>
        <c:crossBetween val="midCat"/>
      </c:valAx>
      <c:spPr>
        <a:solidFill>
          <a:srgbClr val="C0C0C0"/>
        </a:solidFill>
        <a:ln w="12700">
          <a:solidFill>
            <a:srgbClr val="808080"/>
          </a:solidFill>
          <a:prstDash val="solid"/>
        </a:ln>
      </c:spPr>
    </c:plotArea>
    <c:legend>
      <c:legendPos val="r"/>
      <c:layout>
        <c:manualLayout>
          <c:xMode val="edge"/>
          <c:yMode val="edge"/>
          <c:x val="0.87900355788859841"/>
          <c:y val="0.14005232189113634"/>
          <c:w val="0.10943062117235355"/>
          <c:h val="0.75000000000000078"/>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zh-TW"/>
        </a:p>
      </c:txPr>
    </c:legend>
    <c:plotVisOnly val="1"/>
    <c:dispBlanksAs val="gap"/>
  </c:chart>
  <c:spPr>
    <a:noFill/>
    <a:ln w="317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zh-TW"/>
    </a:p>
  </c:txPr>
  <c:printSettings>
    <c:headerFooter/>
    <c:pageMargins b="0.75000000000000044" l="0.7000000000000004" r="0.7000000000000004" t="0.75000000000000044" header="0.30000000000000021" footer="0.3000000000000002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VID1 - Loadline Zoom View 1</a:t>
            </a:r>
          </a:p>
        </c:rich>
      </c:tx>
      <c:layout>
        <c:manualLayout>
          <c:xMode val="edge"/>
          <c:yMode val="edge"/>
          <c:x val="0.31209369554194338"/>
          <c:y val="2.5022326047418348E-2"/>
        </c:manualLayout>
      </c:layout>
    </c:title>
    <c:plotArea>
      <c:layout>
        <c:manualLayout>
          <c:layoutTarget val="inner"/>
          <c:xMode val="edge"/>
          <c:yMode val="edge"/>
          <c:x val="6.3829787234042562E-2"/>
          <c:y val="1.0738255033557059E-2"/>
          <c:w val="0.91766882516188764"/>
          <c:h val="0.89530201342281879"/>
        </c:manualLayout>
      </c:layout>
      <c:scatterChart>
        <c:scatterStyle val="smoothMarker"/>
        <c:ser>
          <c:idx val="1"/>
          <c:order val="0"/>
          <c:tx>
            <c:v>Upper limit</c:v>
          </c:tx>
          <c:spPr>
            <a:ln>
              <a:solidFill>
                <a:srgbClr val="C00000"/>
              </a:solidFill>
            </a:ln>
          </c:spPr>
          <c:marker>
            <c:symbol val="none"/>
          </c:marker>
          <c:xVal>
            <c:numRef>
              <c:f>'Static LL'!$M$11:$M$15</c:f>
              <c:numCache>
                <c:formatCode>0</c:formatCode>
                <c:ptCount val="5"/>
                <c:pt idx="0">
                  <c:v>0</c:v>
                </c:pt>
                <c:pt idx="1">
                  <c:v>2</c:v>
                </c:pt>
                <c:pt idx="2">
                  <c:v>6</c:v>
                </c:pt>
                <c:pt idx="3">
                  <c:v>10</c:v>
                </c:pt>
                <c:pt idx="4">
                  <c:v>14</c:v>
                </c:pt>
              </c:numCache>
            </c:numRef>
          </c:xVal>
          <c:yVal>
            <c:numRef>
              <c:f>'Static LL'!$B$11:$B$15</c:f>
              <c:numCache>
                <c:formatCode>General</c:formatCode>
                <c:ptCount val="5"/>
                <c:pt idx="0">
                  <c:v>0.93500000000000005</c:v>
                </c:pt>
                <c:pt idx="1">
                  <c:v>0.93140000000000001</c:v>
                </c:pt>
                <c:pt idx="2">
                  <c:v>0.92420000000000002</c:v>
                </c:pt>
                <c:pt idx="3">
                  <c:v>0.91700000000000004</c:v>
                </c:pt>
                <c:pt idx="4">
                  <c:v>0.90980000000000005</c:v>
                </c:pt>
              </c:numCache>
            </c:numRef>
          </c:yVal>
          <c:smooth val="1"/>
          <c:extLst xmlns:c16r2="http://schemas.microsoft.com/office/drawing/2015/06/chart">
            <c:ext xmlns:c16="http://schemas.microsoft.com/office/drawing/2014/chart" uri="{C3380CC4-5D6E-409C-BE32-E72D297353CC}">
              <c16:uniqueId val="{00000000-D74C-4CA0-86BC-6421E968B184}"/>
            </c:ext>
          </c:extLst>
        </c:ser>
        <c:ser>
          <c:idx val="2"/>
          <c:order val="1"/>
          <c:tx>
            <c:v>Lower limit</c:v>
          </c:tx>
          <c:spPr>
            <a:ln>
              <a:solidFill>
                <a:srgbClr val="C00000"/>
              </a:solidFill>
            </a:ln>
          </c:spPr>
          <c:marker>
            <c:symbol val="none"/>
          </c:marker>
          <c:xVal>
            <c:numRef>
              <c:f>'Static LL'!$M$11:$M$15</c:f>
              <c:numCache>
                <c:formatCode>0</c:formatCode>
                <c:ptCount val="5"/>
                <c:pt idx="0">
                  <c:v>0</c:v>
                </c:pt>
                <c:pt idx="1">
                  <c:v>2</c:v>
                </c:pt>
                <c:pt idx="2">
                  <c:v>6</c:v>
                </c:pt>
                <c:pt idx="3">
                  <c:v>10</c:v>
                </c:pt>
                <c:pt idx="4">
                  <c:v>14</c:v>
                </c:pt>
              </c:numCache>
            </c:numRef>
          </c:xVal>
          <c:yVal>
            <c:numRef>
              <c:f>'Static LL'!$H$11:$H$15</c:f>
              <c:numCache>
                <c:formatCode>General</c:formatCode>
                <c:ptCount val="5"/>
                <c:pt idx="0">
                  <c:v>0.86499999999999999</c:v>
                </c:pt>
                <c:pt idx="1">
                  <c:v>0.86139999999999994</c:v>
                </c:pt>
                <c:pt idx="2">
                  <c:v>0.85419999999999996</c:v>
                </c:pt>
                <c:pt idx="3">
                  <c:v>0.84699999999999998</c:v>
                </c:pt>
                <c:pt idx="4">
                  <c:v>0.83979999999999999</c:v>
                </c:pt>
              </c:numCache>
            </c:numRef>
          </c:yVal>
          <c:smooth val="1"/>
          <c:extLst xmlns:c16r2="http://schemas.microsoft.com/office/drawing/2015/06/chart">
            <c:ext xmlns:c16="http://schemas.microsoft.com/office/drawing/2014/chart" uri="{C3380CC4-5D6E-409C-BE32-E72D297353CC}">
              <c16:uniqueId val="{00000001-D74C-4CA0-86BC-6421E968B184}"/>
            </c:ext>
          </c:extLst>
        </c:ser>
        <c:ser>
          <c:idx val="0"/>
          <c:order val="2"/>
          <c:tx>
            <c:v>VID1 DC LL</c:v>
          </c:tx>
          <c:spPr>
            <a:ln>
              <a:solidFill>
                <a:srgbClr val="0070C0"/>
              </a:solidFill>
            </a:ln>
          </c:spPr>
          <c:marker>
            <c:symbol val="none"/>
          </c:marker>
          <c:xVal>
            <c:numRef>
              <c:f>'Static LL'!$M$11:$M$15</c:f>
              <c:numCache>
                <c:formatCode>0</c:formatCode>
                <c:ptCount val="5"/>
                <c:pt idx="0">
                  <c:v>0</c:v>
                </c:pt>
                <c:pt idx="1">
                  <c:v>2</c:v>
                </c:pt>
                <c:pt idx="2">
                  <c:v>6</c:v>
                </c:pt>
                <c:pt idx="3">
                  <c:v>10</c:v>
                </c:pt>
                <c:pt idx="4">
                  <c:v>14</c:v>
                </c:pt>
              </c:numCache>
            </c:numRef>
          </c:xVal>
          <c:yVal>
            <c:numRef>
              <c:f>'Static LL'!$N$11:$N$15</c:f>
              <c:numCache>
                <c:formatCode>0.0000_ </c:formatCode>
                <c:ptCount val="5"/>
                <c:pt idx="0">
                  <c:v>0.90300000000000002</c:v>
                </c:pt>
                <c:pt idx="1">
                  <c:v>0.89970000000000006</c:v>
                </c:pt>
                <c:pt idx="2">
                  <c:v>0.89239999999999997</c:v>
                </c:pt>
                <c:pt idx="3">
                  <c:v>0.88529999999999998</c:v>
                </c:pt>
                <c:pt idx="4">
                  <c:v>0.87809999999999999</c:v>
                </c:pt>
              </c:numCache>
            </c:numRef>
          </c:yVal>
          <c:smooth val="1"/>
          <c:extLst xmlns:c16r2="http://schemas.microsoft.com/office/drawing/2015/06/chart">
            <c:ext xmlns:c16="http://schemas.microsoft.com/office/drawing/2014/chart" uri="{C3380CC4-5D6E-409C-BE32-E72D297353CC}">
              <c16:uniqueId val="{00000002-D74C-4CA0-86BC-6421E968B184}"/>
            </c:ext>
          </c:extLst>
        </c:ser>
        <c:ser>
          <c:idx val="7"/>
          <c:order val="3"/>
          <c:tx>
            <c:v>DC LL + Ripple</c:v>
          </c:tx>
          <c:spPr>
            <a:ln w="22225">
              <a:solidFill>
                <a:schemeClr val="tx2">
                  <a:lumMod val="40000"/>
                  <a:lumOff val="60000"/>
                </a:schemeClr>
              </a:solidFill>
            </a:ln>
          </c:spPr>
          <c:marker>
            <c:symbol val="none"/>
          </c:marker>
          <c:xVal>
            <c:numRef>
              <c:f>'Static LL'!$M$11:$M$15</c:f>
              <c:numCache>
                <c:formatCode>0</c:formatCode>
                <c:ptCount val="5"/>
                <c:pt idx="0">
                  <c:v>0</c:v>
                </c:pt>
                <c:pt idx="1">
                  <c:v>2</c:v>
                </c:pt>
                <c:pt idx="2">
                  <c:v>6</c:v>
                </c:pt>
                <c:pt idx="3">
                  <c:v>10</c:v>
                </c:pt>
                <c:pt idx="4">
                  <c:v>14</c:v>
                </c:pt>
              </c:numCache>
            </c:numRef>
          </c:xVal>
          <c:yVal>
            <c:numRef>
              <c:f>'Static LL'!$F$11:$F$15</c:f>
              <c:numCache>
                <c:formatCode>0.0000</c:formatCode>
                <c:ptCount val="5"/>
                <c:pt idx="0">
                  <c:v>0.91260000000000008</c:v>
                </c:pt>
                <c:pt idx="1">
                  <c:v>0.90990000000000004</c:v>
                </c:pt>
                <c:pt idx="2">
                  <c:v>0.90239999999999998</c:v>
                </c:pt>
                <c:pt idx="3">
                  <c:v>0.89549999999999996</c:v>
                </c:pt>
                <c:pt idx="4">
                  <c:v>0.8881</c:v>
                </c:pt>
              </c:numCache>
            </c:numRef>
          </c:yVal>
          <c:smooth val="1"/>
          <c:extLst xmlns:c16r2="http://schemas.microsoft.com/office/drawing/2015/06/chart">
            <c:ext xmlns:c16="http://schemas.microsoft.com/office/drawing/2014/chart" uri="{C3380CC4-5D6E-409C-BE32-E72D297353CC}">
              <c16:uniqueId val="{00000003-D74C-4CA0-86BC-6421E968B184}"/>
            </c:ext>
          </c:extLst>
        </c:ser>
        <c:ser>
          <c:idx val="8"/>
          <c:order val="4"/>
          <c:tx>
            <c:v>DC LL - Ripple</c:v>
          </c:tx>
          <c:spPr>
            <a:ln w="22225">
              <a:solidFill>
                <a:schemeClr val="tx2">
                  <a:lumMod val="40000"/>
                  <a:lumOff val="60000"/>
                </a:schemeClr>
              </a:solidFill>
            </a:ln>
          </c:spPr>
          <c:marker>
            <c:symbol val="none"/>
          </c:marker>
          <c:xVal>
            <c:numRef>
              <c:f>'Static LL'!$M$11:$M$15</c:f>
              <c:numCache>
                <c:formatCode>0</c:formatCode>
                <c:ptCount val="5"/>
                <c:pt idx="0">
                  <c:v>0</c:v>
                </c:pt>
                <c:pt idx="1">
                  <c:v>2</c:v>
                </c:pt>
                <c:pt idx="2">
                  <c:v>6</c:v>
                </c:pt>
                <c:pt idx="3">
                  <c:v>10</c:v>
                </c:pt>
                <c:pt idx="4">
                  <c:v>14</c:v>
                </c:pt>
              </c:numCache>
            </c:numRef>
          </c:xVal>
          <c:yVal>
            <c:numRef>
              <c:f>'Static LL'!$G$11:$G$15</c:f>
              <c:numCache>
                <c:formatCode>0.0000</c:formatCode>
                <c:ptCount val="5"/>
                <c:pt idx="0">
                  <c:v>0.89339999999999997</c:v>
                </c:pt>
                <c:pt idx="1">
                  <c:v>0.88950000000000007</c:v>
                </c:pt>
                <c:pt idx="2">
                  <c:v>0.88239999999999996</c:v>
                </c:pt>
                <c:pt idx="3">
                  <c:v>0.87509999999999999</c:v>
                </c:pt>
                <c:pt idx="4">
                  <c:v>0.86809999999999998</c:v>
                </c:pt>
              </c:numCache>
            </c:numRef>
          </c:yVal>
          <c:smooth val="1"/>
          <c:extLst xmlns:c16r2="http://schemas.microsoft.com/office/drawing/2015/06/chart">
            <c:ext xmlns:c16="http://schemas.microsoft.com/office/drawing/2014/chart" uri="{C3380CC4-5D6E-409C-BE32-E72D297353CC}">
              <c16:uniqueId val="{00000004-D74C-4CA0-86BC-6421E968B184}"/>
            </c:ext>
          </c:extLst>
        </c:ser>
        <c:ser>
          <c:idx val="3"/>
          <c:order val="5"/>
          <c:tx>
            <c:v>Min LL Slope</c:v>
          </c:tx>
          <c:spPr>
            <a:ln>
              <a:solidFill>
                <a:srgbClr val="00B050"/>
              </a:solidFill>
              <a:prstDash val="sysDot"/>
            </a:ln>
          </c:spPr>
          <c:marker>
            <c:symbol val="none"/>
          </c:marker>
          <c:xVal>
            <c:numRef>
              <c:f>'Static LL'!$M$11:$M$15</c:f>
              <c:numCache>
                <c:formatCode>0</c:formatCode>
                <c:ptCount val="5"/>
                <c:pt idx="0">
                  <c:v>0</c:v>
                </c:pt>
                <c:pt idx="1">
                  <c:v>2</c:v>
                </c:pt>
                <c:pt idx="2">
                  <c:v>6</c:v>
                </c:pt>
                <c:pt idx="3">
                  <c:v>10</c:v>
                </c:pt>
                <c:pt idx="4">
                  <c:v>14</c:v>
                </c:pt>
              </c:numCache>
            </c:numRef>
          </c:xVal>
          <c:yVal>
            <c:numRef>
              <c:f>'Static LL'!$C$11:$C$15</c:f>
              <c:numCache>
                <c:formatCode>0.0000_ </c:formatCode>
                <c:ptCount val="5"/>
                <c:pt idx="0" formatCode="0.0000">
                  <c:v>0.90300000000000002</c:v>
                </c:pt>
                <c:pt idx="1">
                  <c:v>0.89982857142857142</c:v>
                </c:pt>
                <c:pt idx="2">
                  <c:v>0.89348571428571433</c:v>
                </c:pt>
                <c:pt idx="3">
                  <c:v>0.88714285714285712</c:v>
                </c:pt>
                <c:pt idx="4">
                  <c:v>0.88080000000000003</c:v>
                </c:pt>
              </c:numCache>
            </c:numRef>
          </c:yVal>
          <c:smooth val="1"/>
          <c:extLst xmlns:c16r2="http://schemas.microsoft.com/office/drawing/2015/06/chart">
            <c:ext xmlns:c16="http://schemas.microsoft.com/office/drawing/2014/chart" uri="{C3380CC4-5D6E-409C-BE32-E72D297353CC}">
              <c16:uniqueId val="{00000005-D74C-4CA0-86BC-6421E968B184}"/>
            </c:ext>
          </c:extLst>
        </c:ser>
        <c:ser>
          <c:idx val="4"/>
          <c:order val="6"/>
          <c:tx>
            <c:v>Max LL Slope</c:v>
          </c:tx>
          <c:spPr>
            <a:ln>
              <a:solidFill>
                <a:srgbClr val="00B050"/>
              </a:solidFill>
              <a:prstDash val="sysDot"/>
            </a:ln>
          </c:spPr>
          <c:marker>
            <c:symbol val="none"/>
          </c:marker>
          <c:xVal>
            <c:numRef>
              <c:f>'Static LL'!$M$11:$M$15</c:f>
              <c:numCache>
                <c:formatCode>0</c:formatCode>
                <c:ptCount val="5"/>
                <c:pt idx="0">
                  <c:v>0</c:v>
                </c:pt>
                <c:pt idx="1">
                  <c:v>2</c:v>
                </c:pt>
                <c:pt idx="2">
                  <c:v>6</c:v>
                </c:pt>
                <c:pt idx="3">
                  <c:v>10</c:v>
                </c:pt>
                <c:pt idx="4">
                  <c:v>14</c:v>
                </c:pt>
              </c:numCache>
            </c:numRef>
          </c:xVal>
          <c:yVal>
            <c:numRef>
              <c:f>'Static LL'!$D$11:$D$15</c:f>
              <c:numCache>
                <c:formatCode>0.0000</c:formatCode>
                <c:ptCount val="5"/>
                <c:pt idx="0">
                  <c:v>0.90300000000000002</c:v>
                </c:pt>
                <c:pt idx="1">
                  <c:v>0.89897142857142864</c:v>
                </c:pt>
                <c:pt idx="2">
                  <c:v>0.89091428571428577</c:v>
                </c:pt>
                <c:pt idx="3">
                  <c:v>0.8828571428571429</c:v>
                </c:pt>
                <c:pt idx="4">
                  <c:v>0.87480000000000002</c:v>
                </c:pt>
              </c:numCache>
            </c:numRef>
          </c:yVal>
          <c:smooth val="1"/>
          <c:extLst xmlns:c16r2="http://schemas.microsoft.com/office/drawing/2015/06/chart">
            <c:ext xmlns:c16="http://schemas.microsoft.com/office/drawing/2014/chart" uri="{C3380CC4-5D6E-409C-BE32-E72D297353CC}">
              <c16:uniqueId val="{00000006-D74C-4CA0-86BC-6421E968B184}"/>
            </c:ext>
          </c:extLst>
        </c:ser>
        <c:ser>
          <c:idx val="5"/>
          <c:order val="7"/>
          <c:tx>
            <c:v>Min V @ 0A</c:v>
          </c:tx>
          <c:spPr>
            <a:ln>
              <a:noFill/>
            </a:ln>
          </c:spPr>
          <c:marker>
            <c:symbol val="dash"/>
            <c:size val="10"/>
            <c:spPr>
              <a:solidFill>
                <a:srgbClr val="00B050"/>
              </a:solidFill>
              <a:ln>
                <a:noFill/>
              </a:ln>
            </c:spPr>
          </c:marker>
          <c:xVal>
            <c:numRef>
              <c:f>'Static LL'!$M$11</c:f>
              <c:numCache>
                <c:formatCode>0</c:formatCode>
                <c:ptCount val="1"/>
                <c:pt idx="0">
                  <c:v>0</c:v>
                </c:pt>
              </c:numCache>
            </c:numRef>
          </c:xVal>
          <c:yVal>
            <c:numRef>
              <c:f>'Static LL'!$AO$12</c:f>
              <c:numCache>
                <c:formatCode>General</c:formatCode>
                <c:ptCount val="1"/>
                <c:pt idx="0">
                  <c:v>0.89500000000000002</c:v>
                </c:pt>
              </c:numCache>
            </c:numRef>
          </c:yVal>
          <c:smooth val="1"/>
          <c:extLst xmlns:c16r2="http://schemas.microsoft.com/office/drawing/2015/06/chart">
            <c:ext xmlns:c16="http://schemas.microsoft.com/office/drawing/2014/chart" uri="{C3380CC4-5D6E-409C-BE32-E72D297353CC}">
              <c16:uniqueId val="{00000007-D74C-4CA0-86BC-6421E968B184}"/>
            </c:ext>
          </c:extLst>
        </c:ser>
        <c:ser>
          <c:idx val="9"/>
          <c:order val="8"/>
          <c:tx>
            <c:v>Max V @ 0A</c:v>
          </c:tx>
          <c:spPr>
            <a:ln>
              <a:noFill/>
            </a:ln>
          </c:spPr>
          <c:marker>
            <c:symbol val="dash"/>
            <c:size val="10"/>
            <c:spPr>
              <a:solidFill>
                <a:srgbClr val="00B050"/>
              </a:solidFill>
              <a:ln>
                <a:noFill/>
              </a:ln>
            </c:spPr>
          </c:marker>
          <c:xVal>
            <c:numRef>
              <c:f>'Static LL'!$M$11</c:f>
              <c:numCache>
                <c:formatCode>0</c:formatCode>
                <c:ptCount val="1"/>
                <c:pt idx="0">
                  <c:v>0</c:v>
                </c:pt>
              </c:numCache>
            </c:numRef>
          </c:xVal>
          <c:yVal>
            <c:numRef>
              <c:f>'Static LL'!$AO$13</c:f>
              <c:numCache>
                <c:formatCode>General</c:formatCode>
                <c:ptCount val="1"/>
                <c:pt idx="0">
                  <c:v>0.90500000000000003</c:v>
                </c:pt>
              </c:numCache>
            </c:numRef>
          </c:yVal>
          <c:extLst xmlns:c16r2="http://schemas.microsoft.com/office/drawing/2015/06/chart">
            <c:ext xmlns:c16="http://schemas.microsoft.com/office/drawing/2014/chart" uri="{C3380CC4-5D6E-409C-BE32-E72D297353CC}">
              <c16:uniqueId val="{00000008-D74C-4CA0-86BC-6421E968B184}"/>
            </c:ext>
          </c:extLst>
        </c:ser>
        <c:axId val="100819328"/>
        <c:axId val="100821632"/>
      </c:scatterChart>
      <c:valAx>
        <c:axId val="100819328"/>
        <c:scaling>
          <c:orientation val="minMax"/>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0821632"/>
        <c:crosses val="autoZero"/>
        <c:crossBetween val="midCat"/>
      </c:valAx>
      <c:valAx>
        <c:axId val="100821632"/>
        <c:scaling>
          <c:orientation val="minMax"/>
          <c:min val="1.7"/>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0819328"/>
        <c:crosses val="autoZero"/>
        <c:crossBetween val="midCat"/>
      </c:valAx>
    </c:plotArea>
    <c:legend>
      <c:legendPos val="r"/>
      <c:layout>
        <c:manualLayout>
          <c:xMode val="edge"/>
          <c:yMode val="edge"/>
          <c:x val="0.83937852975631866"/>
          <c:y val="3.9419087136929508E-2"/>
          <c:w val="0.12435233160621761"/>
          <c:h val="0.31016638350704157"/>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VID1 - Loadline Zoom View 2</a:t>
            </a:r>
          </a:p>
        </c:rich>
      </c:tx>
      <c:layout>
        <c:manualLayout>
          <c:xMode val="edge"/>
          <c:yMode val="edge"/>
          <c:x val="0.37375494698711581"/>
          <c:y val="2.6773827184645448E-2"/>
        </c:manualLayout>
      </c:layout>
    </c:title>
    <c:plotArea>
      <c:layout>
        <c:manualLayout>
          <c:layoutTarget val="inner"/>
          <c:xMode val="edge"/>
          <c:yMode val="edge"/>
          <c:x val="8.6710650329877528E-2"/>
          <c:y val="1.7402945113788489E-2"/>
          <c:w val="0.89349670122525815"/>
          <c:h val="0.92235609103078986"/>
        </c:manualLayout>
      </c:layout>
      <c:scatterChart>
        <c:scatterStyle val="smoothMarker"/>
        <c:ser>
          <c:idx val="1"/>
          <c:order val="0"/>
          <c:tx>
            <c:v>Upper limit</c:v>
          </c:tx>
          <c:spPr>
            <a:ln>
              <a:solidFill>
                <a:srgbClr val="C00000"/>
              </a:solidFill>
            </a:ln>
          </c:spPr>
          <c:marker>
            <c:symbol val="none"/>
          </c:marker>
          <c:xVal>
            <c:numRef>
              <c:f>'Static LL'!$M$15:$M$18</c:f>
              <c:numCache>
                <c:formatCode>0</c:formatCode>
                <c:ptCount val="4"/>
                <c:pt idx="0">
                  <c:v>14</c:v>
                </c:pt>
                <c:pt idx="1">
                  <c:v>18</c:v>
                </c:pt>
                <c:pt idx="2">
                  <c:v>23</c:v>
                </c:pt>
                <c:pt idx="3">
                  <c:v>28</c:v>
                </c:pt>
              </c:numCache>
            </c:numRef>
          </c:xVal>
          <c:yVal>
            <c:numRef>
              <c:f>'Static LL'!$B$15:$B$18</c:f>
              <c:numCache>
                <c:formatCode>General</c:formatCode>
                <c:ptCount val="4"/>
                <c:pt idx="0">
                  <c:v>0.90980000000000005</c:v>
                </c:pt>
                <c:pt idx="1">
                  <c:v>0.90260000000000007</c:v>
                </c:pt>
                <c:pt idx="2">
                  <c:v>0.89360000000000006</c:v>
                </c:pt>
                <c:pt idx="3">
                  <c:v>0.88460000000000005</c:v>
                </c:pt>
              </c:numCache>
            </c:numRef>
          </c:yVal>
          <c:smooth val="1"/>
          <c:extLst xmlns:c16r2="http://schemas.microsoft.com/office/drawing/2015/06/chart">
            <c:ext xmlns:c16="http://schemas.microsoft.com/office/drawing/2014/chart" uri="{C3380CC4-5D6E-409C-BE32-E72D297353CC}">
              <c16:uniqueId val="{00000000-7087-410E-8EC2-80566E772EA0}"/>
            </c:ext>
          </c:extLst>
        </c:ser>
        <c:ser>
          <c:idx val="2"/>
          <c:order val="1"/>
          <c:tx>
            <c:v>Lower limit</c:v>
          </c:tx>
          <c:spPr>
            <a:ln>
              <a:solidFill>
                <a:srgbClr val="C00000"/>
              </a:solidFill>
            </a:ln>
          </c:spPr>
          <c:marker>
            <c:symbol val="none"/>
          </c:marker>
          <c:xVal>
            <c:numRef>
              <c:f>'Static LL'!$M$15:$M$18</c:f>
              <c:numCache>
                <c:formatCode>0</c:formatCode>
                <c:ptCount val="4"/>
                <c:pt idx="0">
                  <c:v>14</c:v>
                </c:pt>
                <c:pt idx="1">
                  <c:v>18</c:v>
                </c:pt>
                <c:pt idx="2">
                  <c:v>23</c:v>
                </c:pt>
                <c:pt idx="3">
                  <c:v>28</c:v>
                </c:pt>
              </c:numCache>
            </c:numRef>
          </c:xVal>
          <c:yVal>
            <c:numRef>
              <c:f>'Static LL'!$H$15:$H$18</c:f>
              <c:numCache>
                <c:formatCode>General</c:formatCode>
                <c:ptCount val="4"/>
                <c:pt idx="0">
                  <c:v>0.83979999999999999</c:v>
                </c:pt>
                <c:pt idx="1">
                  <c:v>0.83260000000000001</c:v>
                </c:pt>
                <c:pt idx="2">
                  <c:v>0.8236</c:v>
                </c:pt>
                <c:pt idx="3">
                  <c:v>0.81459999999999999</c:v>
                </c:pt>
              </c:numCache>
            </c:numRef>
          </c:yVal>
          <c:smooth val="1"/>
          <c:extLst xmlns:c16r2="http://schemas.microsoft.com/office/drawing/2015/06/chart">
            <c:ext xmlns:c16="http://schemas.microsoft.com/office/drawing/2014/chart" uri="{C3380CC4-5D6E-409C-BE32-E72D297353CC}">
              <c16:uniqueId val="{00000001-7087-410E-8EC2-80566E772EA0}"/>
            </c:ext>
          </c:extLst>
        </c:ser>
        <c:ser>
          <c:idx val="0"/>
          <c:order val="2"/>
          <c:tx>
            <c:v>VID1 DC LL</c:v>
          </c:tx>
          <c:spPr>
            <a:ln>
              <a:solidFill>
                <a:srgbClr val="0070C0"/>
              </a:solidFill>
            </a:ln>
          </c:spPr>
          <c:marker>
            <c:symbol val="none"/>
          </c:marker>
          <c:xVal>
            <c:numRef>
              <c:f>'Static LL'!$M$15:$M$18</c:f>
              <c:numCache>
                <c:formatCode>0</c:formatCode>
                <c:ptCount val="4"/>
                <c:pt idx="0">
                  <c:v>14</c:v>
                </c:pt>
                <c:pt idx="1">
                  <c:v>18</c:v>
                </c:pt>
                <c:pt idx="2">
                  <c:v>23</c:v>
                </c:pt>
                <c:pt idx="3">
                  <c:v>28</c:v>
                </c:pt>
              </c:numCache>
            </c:numRef>
          </c:xVal>
          <c:yVal>
            <c:numRef>
              <c:f>'Static LL'!$N$15:$N$18</c:f>
              <c:numCache>
                <c:formatCode>0.0000_ </c:formatCode>
                <c:ptCount val="4"/>
                <c:pt idx="0">
                  <c:v>0.87809999999999999</c:v>
                </c:pt>
                <c:pt idx="1">
                  <c:v>0.87080000000000002</c:v>
                </c:pt>
                <c:pt idx="2">
                  <c:v>0.8619</c:v>
                </c:pt>
                <c:pt idx="3">
                  <c:v>0.85270000000000001</c:v>
                </c:pt>
              </c:numCache>
            </c:numRef>
          </c:yVal>
          <c:smooth val="1"/>
          <c:extLst xmlns:c16r2="http://schemas.microsoft.com/office/drawing/2015/06/chart">
            <c:ext xmlns:c16="http://schemas.microsoft.com/office/drawing/2014/chart" uri="{C3380CC4-5D6E-409C-BE32-E72D297353CC}">
              <c16:uniqueId val="{00000002-7087-410E-8EC2-80566E772EA0}"/>
            </c:ext>
          </c:extLst>
        </c:ser>
        <c:ser>
          <c:idx val="7"/>
          <c:order val="3"/>
          <c:tx>
            <c:v>DC LL + Ripple</c:v>
          </c:tx>
          <c:spPr>
            <a:ln w="22225">
              <a:solidFill>
                <a:schemeClr val="tx2">
                  <a:lumMod val="40000"/>
                  <a:lumOff val="60000"/>
                </a:schemeClr>
              </a:solidFill>
            </a:ln>
          </c:spPr>
          <c:marker>
            <c:symbol val="none"/>
          </c:marker>
          <c:xVal>
            <c:numRef>
              <c:f>'Static LL'!$M$15:$M$18</c:f>
              <c:numCache>
                <c:formatCode>0</c:formatCode>
                <c:ptCount val="4"/>
                <c:pt idx="0">
                  <c:v>14</c:v>
                </c:pt>
                <c:pt idx="1">
                  <c:v>18</c:v>
                </c:pt>
                <c:pt idx="2">
                  <c:v>23</c:v>
                </c:pt>
                <c:pt idx="3">
                  <c:v>28</c:v>
                </c:pt>
              </c:numCache>
            </c:numRef>
          </c:xVal>
          <c:yVal>
            <c:numRef>
              <c:f>'Static LL'!$F$15:$F$18</c:f>
              <c:numCache>
                <c:formatCode>0.0000</c:formatCode>
                <c:ptCount val="4"/>
                <c:pt idx="0">
                  <c:v>0.8881</c:v>
                </c:pt>
                <c:pt idx="1">
                  <c:v>0.88080000000000003</c:v>
                </c:pt>
                <c:pt idx="2">
                  <c:v>0.87170000000000003</c:v>
                </c:pt>
                <c:pt idx="3">
                  <c:v>0.86309999999999998</c:v>
                </c:pt>
              </c:numCache>
            </c:numRef>
          </c:yVal>
          <c:smooth val="1"/>
          <c:extLst xmlns:c16r2="http://schemas.microsoft.com/office/drawing/2015/06/chart">
            <c:ext xmlns:c16="http://schemas.microsoft.com/office/drawing/2014/chart" uri="{C3380CC4-5D6E-409C-BE32-E72D297353CC}">
              <c16:uniqueId val="{00000003-7087-410E-8EC2-80566E772EA0}"/>
            </c:ext>
          </c:extLst>
        </c:ser>
        <c:ser>
          <c:idx val="8"/>
          <c:order val="4"/>
          <c:tx>
            <c:v>DC LL - Ripple</c:v>
          </c:tx>
          <c:spPr>
            <a:ln w="22225">
              <a:solidFill>
                <a:schemeClr val="tx2">
                  <a:lumMod val="40000"/>
                  <a:lumOff val="60000"/>
                </a:schemeClr>
              </a:solidFill>
            </a:ln>
          </c:spPr>
          <c:marker>
            <c:symbol val="none"/>
          </c:marker>
          <c:xVal>
            <c:numRef>
              <c:f>'Static LL'!$M$15:$M$18</c:f>
              <c:numCache>
                <c:formatCode>0</c:formatCode>
                <c:ptCount val="4"/>
                <c:pt idx="0">
                  <c:v>14</c:v>
                </c:pt>
                <c:pt idx="1">
                  <c:v>18</c:v>
                </c:pt>
                <c:pt idx="2">
                  <c:v>23</c:v>
                </c:pt>
                <c:pt idx="3">
                  <c:v>28</c:v>
                </c:pt>
              </c:numCache>
            </c:numRef>
          </c:xVal>
          <c:yVal>
            <c:numRef>
              <c:f>'Static LL'!$G$15:$G$18</c:f>
              <c:numCache>
                <c:formatCode>0.0000</c:formatCode>
                <c:ptCount val="4"/>
                <c:pt idx="0">
                  <c:v>0.86809999999999998</c:v>
                </c:pt>
                <c:pt idx="1">
                  <c:v>0.86080000000000001</c:v>
                </c:pt>
                <c:pt idx="2">
                  <c:v>0.85209999999999997</c:v>
                </c:pt>
                <c:pt idx="3">
                  <c:v>0.84230000000000005</c:v>
                </c:pt>
              </c:numCache>
            </c:numRef>
          </c:yVal>
          <c:smooth val="1"/>
          <c:extLst xmlns:c16r2="http://schemas.microsoft.com/office/drawing/2015/06/chart">
            <c:ext xmlns:c16="http://schemas.microsoft.com/office/drawing/2014/chart" uri="{C3380CC4-5D6E-409C-BE32-E72D297353CC}">
              <c16:uniqueId val="{00000004-7087-410E-8EC2-80566E772EA0}"/>
            </c:ext>
          </c:extLst>
        </c:ser>
        <c:ser>
          <c:idx val="3"/>
          <c:order val="5"/>
          <c:tx>
            <c:v>Min LL Slope</c:v>
          </c:tx>
          <c:spPr>
            <a:ln>
              <a:solidFill>
                <a:srgbClr val="00B050"/>
              </a:solidFill>
              <a:prstDash val="sysDot"/>
            </a:ln>
          </c:spPr>
          <c:marker>
            <c:symbol val="none"/>
          </c:marker>
          <c:xVal>
            <c:numRef>
              <c:f>'Static LL'!$M$15:$M$18</c:f>
              <c:numCache>
                <c:formatCode>0</c:formatCode>
                <c:ptCount val="4"/>
                <c:pt idx="0">
                  <c:v>14</c:v>
                </c:pt>
                <c:pt idx="1">
                  <c:v>18</c:v>
                </c:pt>
                <c:pt idx="2">
                  <c:v>23</c:v>
                </c:pt>
                <c:pt idx="3">
                  <c:v>28</c:v>
                </c:pt>
              </c:numCache>
            </c:numRef>
          </c:xVal>
          <c:yVal>
            <c:numRef>
              <c:f>'Static LL'!$C$15:$C$18</c:f>
              <c:numCache>
                <c:formatCode>0.0000_ </c:formatCode>
                <c:ptCount val="4"/>
                <c:pt idx="0">
                  <c:v>0.88080000000000003</c:v>
                </c:pt>
                <c:pt idx="1">
                  <c:v>0.87445714285714293</c:v>
                </c:pt>
                <c:pt idx="2">
                  <c:v>0.86652857142857143</c:v>
                </c:pt>
                <c:pt idx="3">
                  <c:v>0.85860000000000003</c:v>
                </c:pt>
              </c:numCache>
            </c:numRef>
          </c:yVal>
          <c:smooth val="1"/>
          <c:extLst xmlns:c16r2="http://schemas.microsoft.com/office/drawing/2015/06/chart">
            <c:ext xmlns:c16="http://schemas.microsoft.com/office/drawing/2014/chart" uri="{C3380CC4-5D6E-409C-BE32-E72D297353CC}">
              <c16:uniqueId val="{00000005-7087-410E-8EC2-80566E772EA0}"/>
            </c:ext>
          </c:extLst>
        </c:ser>
        <c:ser>
          <c:idx val="4"/>
          <c:order val="6"/>
          <c:tx>
            <c:v>Max LL Slope</c:v>
          </c:tx>
          <c:spPr>
            <a:ln>
              <a:solidFill>
                <a:srgbClr val="00B050"/>
              </a:solidFill>
              <a:prstDash val="sysDot"/>
            </a:ln>
          </c:spPr>
          <c:marker>
            <c:symbol val="none"/>
          </c:marker>
          <c:xVal>
            <c:numRef>
              <c:f>'Static LL'!$M$15:$M$18</c:f>
              <c:numCache>
                <c:formatCode>0</c:formatCode>
                <c:ptCount val="4"/>
                <c:pt idx="0">
                  <c:v>14</c:v>
                </c:pt>
                <c:pt idx="1">
                  <c:v>18</c:v>
                </c:pt>
                <c:pt idx="2">
                  <c:v>23</c:v>
                </c:pt>
                <c:pt idx="3">
                  <c:v>28</c:v>
                </c:pt>
              </c:numCache>
            </c:numRef>
          </c:xVal>
          <c:yVal>
            <c:numRef>
              <c:f>'Static LL'!$D$15:$D$18</c:f>
              <c:numCache>
                <c:formatCode>0.0000</c:formatCode>
                <c:ptCount val="4"/>
                <c:pt idx="0">
                  <c:v>0.87480000000000002</c:v>
                </c:pt>
                <c:pt idx="1">
                  <c:v>0.86674285714285715</c:v>
                </c:pt>
                <c:pt idx="2">
                  <c:v>0.85667142857142864</c:v>
                </c:pt>
                <c:pt idx="3">
                  <c:v>0.84660000000000002</c:v>
                </c:pt>
              </c:numCache>
            </c:numRef>
          </c:yVal>
          <c:smooth val="1"/>
          <c:extLst xmlns:c16r2="http://schemas.microsoft.com/office/drawing/2015/06/chart">
            <c:ext xmlns:c16="http://schemas.microsoft.com/office/drawing/2014/chart" uri="{C3380CC4-5D6E-409C-BE32-E72D297353CC}">
              <c16:uniqueId val="{00000006-7087-410E-8EC2-80566E772EA0}"/>
            </c:ext>
          </c:extLst>
        </c:ser>
        <c:axId val="101202176"/>
        <c:axId val="101224832"/>
      </c:scatterChart>
      <c:valAx>
        <c:axId val="101202176"/>
        <c:scaling>
          <c:orientation val="minMax"/>
          <c:min val="25"/>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224832"/>
        <c:crosses val="autoZero"/>
        <c:crossBetween val="midCat"/>
      </c:valAx>
      <c:valAx>
        <c:axId val="101224832"/>
        <c:scaling>
          <c:orientation val="minMax"/>
          <c:min val="1.6"/>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202176"/>
        <c:crosses val="autoZero"/>
        <c:crossBetween val="midCat"/>
      </c:valAx>
    </c:plotArea>
    <c:legend>
      <c:legendPos val="r"/>
      <c:layout>
        <c:manualLayout>
          <c:xMode val="edge"/>
          <c:yMode val="edge"/>
          <c:x val="0.83196493642178304"/>
          <c:y val="3.3126293995859209E-2"/>
          <c:w val="0.13293512414756986"/>
          <c:h val="0.24741241583932491"/>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VID1  - Complete Loadline </a:t>
            </a:r>
          </a:p>
        </c:rich>
      </c:tx>
      <c:layout>
        <c:manualLayout>
          <c:xMode val="edge"/>
          <c:yMode val="edge"/>
          <c:x val="0.43344422669968086"/>
          <c:y val="6.5865586461135078E-2"/>
        </c:manualLayout>
      </c:layout>
    </c:title>
    <c:plotArea>
      <c:layout>
        <c:manualLayout>
          <c:layoutTarget val="inner"/>
          <c:xMode val="edge"/>
          <c:yMode val="edge"/>
          <c:x val="6.9614299153339748E-2"/>
          <c:y val="1.0680907877169559E-2"/>
          <c:w val="0.87676387582314264"/>
          <c:h val="0.8998664886515354"/>
        </c:manualLayout>
      </c:layout>
      <c:scatterChart>
        <c:scatterStyle val="smoothMarker"/>
        <c:ser>
          <c:idx val="1"/>
          <c:order val="0"/>
          <c:tx>
            <c:v>Upper limit</c:v>
          </c:tx>
          <c:spPr>
            <a:ln>
              <a:solidFill>
                <a:srgbClr val="C00000"/>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LL'!$B$11:$B$22</c:f>
              <c:numCache>
                <c:formatCode>General</c:formatCode>
                <c:ptCount val="12"/>
                <c:pt idx="0">
                  <c:v>0.93500000000000005</c:v>
                </c:pt>
                <c:pt idx="1">
                  <c:v>0.93140000000000001</c:v>
                </c:pt>
                <c:pt idx="2">
                  <c:v>0.92420000000000002</c:v>
                </c:pt>
                <c:pt idx="3">
                  <c:v>0.91700000000000004</c:v>
                </c:pt>
                <c:pt idx="4">
                  <c:v>0.90980000000000005</c:v>
                </c:pt>
                <c:pt idx="5">
                  <c:v>0.90260000000000007</c:v>
                </c:pt>
                <c:pt idx="6">
                  <c:v>0.89360000000000006</c:v>
                </c:pt>
                <c:pt idx="7">
                  <c:v>0.88460000000000005</c:v>
                </c:pt>
                <c:pt idx="8">
                  <c:v>0.87560000000000004</c:v>
                </c:pt>
                <c:pt idx="9">
                  <c:v>0.86660000000000004</c:v>
                </c:pt>
                <c:pt idx="10">
                  <c:v>0.85760000000000003</c:v>
                </c:pt>
                <c:pt idx="11">
                  <c:v>0.84860000000000002</c:v>
                </c:pt>
              </c:numCache>
            </c:numRef>
          </c:yVal>
          <c:smooth val="1"/>
          <c:extLst xmlns:c16r2="http://schemas.microsoft.com/office/drawing/2015/06/chart">
            <c:ext xmlns:c16="http://schemas.microsoft.com/office/drawing/2014/chart" uri="{C3380CC4-5D6E-409C-BE32-E72D297353CC}">
              <c16:uniqueId val="{00000000-A328-4C27-B170-8C0CED3686B1}"/>
            </c:ext>
          </c:extLst>
        </c:ser>
        <c:ser>
          <c:idx val="2"/>
          <c:order val="1"/>
          <c:tx>
            <c:v>Lower limit</c:v>
          </c:tx>
          <c:spPr>
            <a:ln>
              <a:solidFill>
                <a:srgbClr val="C00000"/>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LL'!$H$11:$H$22</c:f>
              <c:numCache>
                <c:formatCode>General</c:formatCode>
                <c:ptCount val="12"/>
                <c:pt idx="0">
                  <c:v>0.86499999999999999</c:v>
                </c:pt>
                <c:pt idx="1">
                  <c:v>0.86139999999999994</c:v>
                </c:pt>
                <c:pt idx="2">
                  <c:v>0.85419999999999996</c:v>
                </c:pt>
                <c:pt idx="3">
                  <c:v>0.84699999999999998</c:v>
                </c:pt>
                <c:pt idx="4">
                  <c:v>0.83979999999999999</c:v>
                </c:pt>
                <c:pt idx="5">
                  <c:v>0.83260000000000001</c:v>
                </c:pt>
                <c:pt idx="6">
                  <c:v>0.8236</c:v>
                </c:pt>
                <c:pt idx="7">
                  <c:v>0.81459999999999999</c:v>
                </c:pt>
                <c:pt idx="8">
                  <c:v>0.80559999999999998</c:v>
                </c:pt>
                <c:pt idx="9">
                  <c:v>0.79659999999999997</c:v>
                </c:pt>
                <c:pt idx="10">
                  <c:v>0.78759999999999997</c:v>
                </c:pt>
                <c:pt idx="11">
                  <c:v>0.77859999999999996</c:v>
                </c:pt>
              </c:numCache>
            </c:numRef>
          </c:yVal>
          <c:smooth val="1"/>
          <c:extLst xmlns:c16r2="http://schemas.microsoft.com/office/drawing/2015/06/chart">
            <c:ext xmlns:c16="http://schemas.microsoft.com/office/drawing/2014/chart" uri="{C3380CC4-5D6E-409C-BE32-E72D297353CC}">
              <c16:uniqueId val="{00000001-A328-4C27-B170-8C0CED3686B1}"/>
            </c:ext>
          </c:extLst>
        </c:ser>
        <c:ser>
          <c:idx val="0"/>
          <c:order val="2"/>
          <c:tx>
            <c:v>VID1 DC LL</c:v>
          </c:tx>
          <c:spPr>
            <a:ln>
              <a:solidFill>
                <a:srgbClr val="0070C0"/>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LL'!$N$11:$N$22</c:f>
              <c:numCache>
                <c:formatCode>0.0000_ </c:formatCode>
                <c:ptCount val="12"/>
                <c:pt idx="0">
                  <c:v>0.90300000000000002</c:v>
                </c:pt>
                <c:pt idx="1">
                  <c:v>0.89970000000000006</c:v>
                </c:pt>
                <c:pt idx="2">
                  <c:v>0.89239999999999997</c:v>
                </c:pt>
                <c:pt idx="3">
                  <c:v>0.88529999999999998</c:v>
                </c:pt>
                <c:pt idx="4">
                  <c:v>0.87809999999999999</c:v>
                </c:pt>
                <c:pt idx="5">
                  <c:v>0.87080000000000002</c:v>
                </c:pt>
                <c:pt idx="6">
                  <c:v>0.8619</c:v>
                </c:pt>
                <c:pt idx="7">
                  <c:v>0.85270000000000001</c:v>
                </c:pt>
                <c:pt idx="8">
                  <c:v>0.84370000000000001</c:v>
                </c:pt>
                <c:pt idx="9">
                  <c:v>0.8347</c:v>
                </c:pt>
                <c:pt idx="10">
                  <c:v>0.82540000000000002</c:v>
                </c:pt>
                <c:pt idx="11">
                  <c:v>0.81620000000000004</c:v>
                </c:pt>
              </c:numCache>
            </c:numRef>
          </c:yVal>
          <c:smooth val="1"/>
          <c:extLst xmlns:c16r2="http://schemas.microsoft.com/office/drawing/2015/06/chart">
            <c:ext xmlns:c16="http://schemas.microsoft.com/office/drawing/2014/chart" uri="{C3380CC4-5D6E-409C-BE32-E72D297353CC}">
              <c16:uniqueId val="{00000002-A328-4C27-B170-8C0CED3686B1}"/>
            </c:ext>
          </c:extLst>
        </c:ser>
        <c:ser>
          <c:idx val="7"/>
          <c:order val="3"/>
          <c:tx>
            <c:v>DC LL + Ripple</c:v>
          </c:tx>
          <c:spPr>
            <a:ln w="22225">
              <a:solidFill>
                <a:schemeClr val="tx2">
                  <a:lumMod val="40000"/>
                  <a:lumOff val="60000"/>
                </a:schemeClr>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LL'!$F$11:$F$22</c:f>
              <c:numCache>
                <c:formatCode>0.0000</c:formatCode>
                <c:ptCount val="12"/>
                <c:pt idx="0">
                  <c:v>0.91260000000000008</c:v>
                </c:pt>
                <c:pt idx="1">
                  <c:v>0.90990000000000004</c:v>
                </c:pt>
                <c:pt idx="2">
                  <c:v>0.90239999999999998</c:v>
                </c:pt>
                <c:pt idx="3">
                  <c:v>0.89549999999999996</c:v>
                </c:pt>
                <c:pt idx="4">
                  <c:v>0.8881</c:v>
                </c:pt>
                <c:pt idx="5">
                  <c:v>0.88080000000000003</c:v>
                </c:pt>
                <c:pt idx="6">
                  <c:v>0.87170000000000003</c:v>
                </c:pt>
                <c:pt idx="7">
                  <c:v>0.86309999999999998</c:v>
                </c:pt>
                <c:pt idx="8">
                  <c:v>0.85370000000000001</c:v>
                </c:pt>
                <c:pt idx="9">
                  <c:v>0.84489999999999998</c:v>
                </c:pt>
                <c:pt idx="10">
                  <c:v>0.83510000000000006</c:v>
                </c:pt>
                <c:pt idx="11">
                  <c:v>0.82620000000000005</c:v>
                </c:pt>
              </c:numCache>
            </c:numRef>
          </c:yVal>
          <c:smooth val="1"/>
          <c:extLst xmlns:c16r2="http://schemas.microsoft.com/office/drawing/2015/06/chart">
            <c:ext xmlns:c16="http://schemas.microsoft.com/office/drawing/2014/chart" uri="{C3380CC4-5D6E-409C-BE32-E72D297353CC}">
              <c16:uniqueId val="{00000003-A328-4C27-B170-8C0CED3686B1}"/>
            </c:ext>
          </c:extLst>
        </c:ser>
        <c:ser>
          <c:idx val="8"/>
          <c:order val="4"/>
          <c:tx>
            <c:v>DC LL - Ripple</c:v>
          </c:tx>
          <c:spPr>
            <a:ln w="22225">
              <a:solidFill>
                <a:schemeClr val="tx2">
                  <a:lumMod val="40000"/>
                  <a:lumOff val="60000"/>
                </a:schemeClr>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LL'!$G$11:$G$22</c:f>
              <c:numCache>
                <c:formatCode>0.0000</c:formatCode>
                <c:ptCount val="12"/>
                <c:pt idx="0">
                  <c:v>0.89339999999999997</c:v>
                </c:pt>
                <c:pt idx="1">
                  <c:v>0.88950000000000007</c:v>
                </c:pt>
                <c:pt idx="2">
                  <c:v>0.88239999999999996</c:v>
                </c:pt>
                <c:pt idx="3">
                  <c:v>0.87509999999999999</c:v>
                </c:pt>
                <c:pt idx="4">
                  <c:v>0.86809999999999998</c:v>
                </c:pt>
                <c:pt idx="5">
                  <c:v>0.86080000000000001</c:v>
                </c:pt>
                <c:pt idx="6">
                  <c:v>0.85209999999999997</c:v>
                </c:pt>
                <c:pt idx="7">
                  <c:v>0.84230000000000005</c:v>
                </c:pt>
                <c:pt idx="8">
                  <c:v>0.8337</c:v>
                </c:pt>
                <c:pt idx="9">
                  <c:v>0.82450000000000001</c:v>
                </c:pt>
                <c:pt idx="10">
                  <c:v>0.81569999999999998</c:v>
                </c:pt>
                <c:pt idx="11">
                  <c:v>0.80620000000000003</c:v>
                </c:pt>
              </c:numCache>
            </c:numRef>
          </c:yVal>
          <c:smooth val="1"/>
          <c:extLst xmlns:c16r2="http://schemas.microsoft.com/office/drawing/2015/06/chart">
            <c:ext xmlns:c16="http://schemas.microsoft.com/office/drawing/2014/chart" uri="{C3380CC4-5D6E-409C-BE32-E72D297353CC}">
              <c16:uniqueId val="{00000004-A328-4C27-B170-8C0CED3686B1}"/>
            </c:ext>
          </c:extLst>
        </c:ser>
        <c:ser>
          <c:idx val="3"/>
          <c:order val="5"/>
          <c:tx>
            <c:v>Min LL Slope</c:v>
          </c:tx>
          <c:spPr>
            <a:ln>
              <a:solidFill>
                <a:srgbClr val="00B050"/>
              </a:solidFill>
              <a:prstDash val="sysDot"/>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LL'!$C$11:$C$22</c:f>
              <c:numCache>
                <c:formatCode>0.0000_ </c:formatCode>
                <c:ptCount val="12"/>
                <c:pt idx="0" formatCode="0.0000">
                  <c:v>0.90300000000000002</c:v>
                </c:pt>
                <c:pt idx="1">
                  <c:v>0.89982857142857142</c:v>
                </c:pt>
                <c:pt idx="2">
                  <c:v>0.89348571428571433</c:v>
                </c:pt>
                <c:pt idx="3">
                  <c:v>0.88714285714285712</c:v>
                </c:pt>
                <c:pt idx="4">
                  <c:v>0.88080000000000003</c:v>
                </c:pt>
                <c:pt idx="5">
                  <c:v>0.87445714285714293</c:v>
                </c:pt>
                <c:pt idx="6">
                  <c:v>0.86652857142857143</c:v>
                </c:pt>
                <c:pt idx="7">
                  <c:v>0.85860000000000003</c:v>
                </c:pt>
                <c:pt idx="8">
                  <c:v>0.85067142857142863</c:v>
                </c:pt>
                <c:pt idx="9">
                  <c:v>0.84274285714285713</c:v>
                </c:pt>
                <c:pt idx="10">
                  <c:v>0.83481428571428573</c:v>
                </c:pt>
                <c:pt idx="11">
                  <c:v>0.82688571428571433</c:v>
                </c:pt>
              </c:numCache>
            </c:numRef>
          </c:yVal>
          <c:smooth val="1"/>
          <c:extLst xmlns:c16r2="http://schemas.microsoft.com/office/drawing/2015/06/chart">
            <c:ext xmlns:c16="http://schemas.microsoft.com/office/drawing/2014/chart" uri="{C3380CC4-5D6E-409C-BE32-E72D297353CC}">
              <c16:uniqueId val="{00000005-A328-4C27-B170-8C0CED3686B1}"/>
            </c:ext>
          </c:extLst>
        </c:ser>
        <c:ser>
          <c:idx val="4"/>
          <c:order val="6"/>
          <c:tx>
            <c:v>Max LL Slope</c:v>
          </c:tx>
          <c:spPr>
            <a:ln>
              <a:solidFill>
                <a:srgbClr val="00B050"/>
              </a:solidFill>
              <a:prstDash val="sysDot"/>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LL'!$D$11:$D$22</c:f>
              <c:numCache>
                <c:formatCode>0.0000</c:formatCode>
                <c:ptCount val="12"/>
                <c:pt idx="0">
                  <c:v>0.90300000000000002</c:v>
                </c:pt>
                <c:pt idx="1">
                  <c:v>0.89897142857142864</c:v>
                </c:pt>
                <c:pt idx="2">
                  <c:v>0.89091428571428577</c:v>
                </c:pt>
                <c:pt idx="3">
                  <c:v>0.8828571428571429</c:v>
                </c:pt>
                <c:pt idx="4">
                  <c:v>0.87480000000000002</c:v>
                </c:pt>
                <c:pt idx="5">
                  <c:v>0.86674285714285715</c:v>
                </c:pt>
                <c:pt idx="6">
                  <c:v>0.85667142857142864</c:v>
                </c:pt>
                <c:pt idx="7">
                  <c:v>0.84660000000000002</c:v>
                </c:pt>
                <c:pt idx="8">
                  <c:v>0.8365285714285714</c:v>
                </c:pt>
                <c:pt idx="9">
                  <c:v>0.82645714285714289</c:v>
                </c:pt>
                <c:pt idx="10">
                  <c:v>0.81638571428571427</c:v>
                </c:pt>
                <c:pt idx="11">
                  <c:v>0.80631428571428576</c:v>
                </c:pt>
              </c:numCache>
            </c:numRef>
          </c:yVal>
          <c:smooth val="1"/>
          <c:extLst xmlns:c16r2="http://schemas.microsoft.com/office/drawing/2015/06/chart">
            <c:ext xmlns:c16="http://schemas.microsoft.com/office/drawing/2014/chart" uri="{C3380CC4-5D6E-409C-BE32-E72D297353CC}">
              <c16:uniqueId val="{00000006-A328-4C27-B170-8C0CED3686B1}"/>
            </c:ext>
          </c:extLst>
        </c:ser>
        <c:axId val="101292672"/>
        <c:axId val="101299328"/>
      </c:scatterChart>
      <c:scatterChart>
        <c:scatterStyle val="lineMarker"/>
        <c:ser>
          <c:idx val="12"/>
          <c:order val="7"/>
          <c:tx>
            <c:v>Min V @ IccMin</c:v>
          </c:tx>
          <c:spPr>
            <a:ln w="28575">
              <a:noFill/>
            </a:ln>
          </c:spPr>
          <c:marker>
            <c:symbol val="dash"/>
            <c:size val="10"/>
            <c:spPr>
              <a:solidFill>
                <a:srgbClr val="00B050"/>
              </a:solidFill>
              <a:ln>
                <a:noFill/>
              </a:ln>
            </c:spPr>
          </c:marker>
          <c:xVal>
            <c:numRef>
              <c:f>'Static LL'!$M$11</c:f>
              <c:numCache>
                <c:formatCode>0</c:formatCode>
                <c:ptCount val="1"/>
                <c:pt idx="0">
                  <c:v>0</c:v>
                </c:pt>
              </c:numCache>
            </c:numRef>
          </c:xVal>
          <c:yVal>
            <c:numRef>
              <c:f>'Static LL'!$AO$12</c:f>
              <c:numCache>
                <c:formatCode>General</c:formatCode>
                <c:ptCount val="1"/>
                <c:pt idx="0">
                  <c:v>0.89500000000000002</c:v>
                </c:pt>
              </c:numCache>
            </c:numRef>
          </c:yVal>
          <c:extLst xmlns:c16r2="http://schemas.microsoft.com/office/drawing/2015/06/chart">
            <c:ext xmlns:c16="http://schemas.microsoft.com/office/drawing/2014/chart" uri="{C3380CC4-5D6E-409C-BE32-E72D297353CC}">
              <c16:uniqueId val="{00000007-A328-4C27-B170-8C0CED3686B1}"/>
            </c:ext>
          </c:extLst>
        </c:ser>
        <c:ser>
          <c:idx val="13"/>
          <c:order val="8"/>
          <c:tx>
            <c:v>Max V @ IccMin</c:v>
          </c:tx>
          <c:spPr>
            <a:ln w="28575">
              <a:noFill/>
            </a:ln>
          </c:spPr>
          <c:marker>
            <c:symbol val="dash"/>
            <c:size val="10"/>
            <c:spPr>
              <a:solidFill>
                <a:srgbClr val="00B050"/>
              </a:solidFill>
              <a:ln>
                <a:noFill/>
              </a:ln>
            </c:spPr>
          </c:marker>
          <c:xVal>
            <c:numRef>
              <c:f>'Static LL'!$M$11</c:f>
              <c:numCache>
                <c:formatCode>0</c:formatCode>
                <c:ptCount val="1"/>
                <c:pt idx="0">
                  <c:v>0</c:v>
                </c:pt>
              </c:numCache>
            </c:numRef>
          </c:xVal>
          <c:yVal>
            <c:numRef>
              <c:f>'Static LL'!$AO$13</c:f>
              <c:numCache>
                <c:formatCode>General</c:formatCode>
                <c:ptCount val="1"/>
                <c:pt idx="0">
                  <c:v>0.90500000000000003</c:v>
                </c:pt>
              </c:numCache>
            </c:numRef>
          </c:yVal>
          <c:smooth val="1"/>
          <c:extLst xmlns:c16r2="http://schemas.microsoft.com/office/drawing/2015/06/chart">
            <c:ext xmlns:c16="http://schemas.microsoft.com/office/drawing/2014/chart" uri="{C3380CC4-5D6E-409C-BE32-E72D297353CC}">
              <c16:uniqueId val="{00000008-A328-4C27-B170-8C0CED3686B1}"/>
            </c:ext>
          </c:extLst>
        </c:ser>
        <c:axId val="101292672"/>
        <c:axId val="101299328"/>
      </c:scatterChart>
      <c:valAx>
        <c:axId val="101292672"/>
        <c:scaling>
          <c:orientation val="minMax"/>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299328"/>
        <c:crosses val="autoZero"/>
        <c:crossBetween val="midCat"/>
      </c:valAx>
      <c:valAx>
        <c:axId val="101299328"/>
        <c:scaling>
          <c:orientation val="minMax"/>
          <c:min val="1.6"/>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292672"/>
        <c:crosses val="autoZero"/>
        <c:crossBetween val="midCat"/>
      </c:valAx>
    </c:plotArea>
    <c:legend>
      <c:legendPos val="r"/>
      <c:layout>
        <c:manualLayout>
          <c:xMode val="edge"/>
          <c:yMode val="edge"/>
          <c:x val="0.73025345099373762"/>
          <c:y val="4.6439628482972076E-2"/>
          <c:w val="0.21460506706408342"/>
          <c:h val="0.43446879511578157"/>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VID1 - Loadline Zoom View 3</a:t>
            </a:r>
          </a:p>
        </c:rich>
      </c:tx>
      <c:layout>
        <c:manualLayout>
          <c:xMode val="edge"/>
          <c:yMode val="edge"/>
          <c:x val="0.41385760955412482"/>
          <c:y val="2.3235010131505602E-2"/>
        </c:manualLayout>
      </c:layout>
    </c:title>
    <c:plotArea>
      <c:layout>
        <c:manualLayout>
          <c:layoutTarget val="inner"/>
          <c:xMode val="edge"/>
          <c:yMode val="edge"/>
          <c:x val="8.1671415004748338E-2"/>
          <c:y val="1.2064343163538872E-2"/>
          <c:w val="0.89173789173789153"/>
          <c:h val="0.920911528150134"/>
        </c:manualLayout>
      </c:layout>
      <c:scatterChart>
        <c:scatterStyle val="smoothMarker"/>
        <c:ser>
          <c:idx val="1"/>
          <c:order val="0"/>
          <c:tx>
            <c:v>Upper limit</c:v>
          </c:tx>
          <c:spPr>
            <a:ln>
              <a:solidFill>
                <a:srgbClr val="C00000"/>
              </a:solidFill>
            </a:ln>
          </c:spPr>
          <c:marker>
            <c:symbol val="none"/>
          </c:marker>
          <c:xVal>
            <c:numRef>
              <c:f>'Static LL'!$M$18:$M$22</c:f>
              <c:numCache>
                <c:formatCode>0</c:formatCode>
                <c:ptCount val="5"/>
                <c:pt idx="0">
                  <c:v>28</c:v>
                </c:pt>
                <c:pt idx="1">
                  <c:v>33</c:v>
                </c:pt>
                <c:pt idx="2">
                  <c:v>38</c:v>
                </c:pt>
                <c:pt idx="3">
                  <c:v>43</c:v>
                </c:pt>
                <c:pt idx="4">
                  <c:v>48</c:v>
                </c:pt>
              </c:numCache>
            </c:numRef>
          </c:xVal>
          <c:yVal>
            <c:numRef>
              <c:f>'Static LL'!$B$18:$B$22</c:f>
              <c:numCache>
                <c:formatCode>General</c:formatCode>
                <c:ptCount val="5"/>
                <c:pt idx="0">
                  <c:v>0.88460000000000005</c:v>
                </c:pt>
                <c:pt idx="1">
                  <c:v>0.87560000000000004</c:v>
                </c:pt>
                <c:pt idx="2">
                  <c:v>0.86660000000000004</c:v>
                </c:pt>
                <c:pt idx="3">
                  <c:v>0.85760000000000003</c:v>
                </c:pt>
                <c:pt idx="4">
                  <c:v>0.84860000000000002</c:v>
                </c:pt>
              </c:numCache>
            </c:numRef>
          </c:yVal>
          <c:smooth val="1"/>
          <c:extLst xmlns:c16r2="http://schemas.microsoft.com/office/drawing/2015/06/chart">
            <c:ext xmlns:c16="http://schemas.microsoft.com/office/drawing/2014/chart" uri="{C3380CC4-5D6E-409C-BE32-E72D297353CC}">
              <c16:uniqueId val="{00000000-05B7-4934-B712-E85926B08388}"/>
            </c:ext>
          </c:extLst>
        </c:ser>
        <c:ser>
          <c:idx val="2"/>
          <c:order val="1"/>
          <c:tx>
            <c:v>Lower limit</c:v>
          </c:tx>
          <c:spPr>
            <a:ln>
              <a:solidFill>
                <a:srgbClr val="C00000"/>
              </a:solidFill>
            </a:ln>
          </c:spPr>
          <c:marker>
            <c:symbol val="none"/>
          </c:marker>
          <c:xVal>
            <c:numRef>
              <c:f>'Static LL'!$M$18:$M$22</c:f>
              <c:numCache>
                <c:formatCode>0</c:formatCode>
                <c:ptCount val="5"/>
                <c:pt idx="0">
                  <c:v>28</c:v>
                </c:pt>
                <c:pt idx="1">
                  <c:v>33</c:v>
                </c:pt>
                <c:pt idx="2">
                  <c:v>38</c:v>
                </c:pt>
                <c:pt idx="3">
                  <c:v>43</c:v>
                </c:pt>
                <c:pt idx="4">
                  <c:v>48</c:v>
                </c:pt>
              </c:numCache>
            </c:numRef>
          </c:xVal>
          <c:yVal>
            <c:numRef>
              <c:f>'Static LL'!$H$18:$H$22</c:f>
              <c:numCache>
                <c:formatCode>General</c:formatCode>
                <c:ptCount val="5"/>
                <c:pt idx="0">
                  <c:v>0.81459999999999999</c:v>
                </c:pt>
                <c:pt idx="1">
                  <c:v>0.80559999999999998</c:v>
                </c:pt>
                <c:pt idx="2">
                  <c:v>0.79659999999999997</c:v>
                </c:pt>
                <c:pt idx="3">
                  <c:v>0.78759999999999997</c:v>
                </c:pt>
                <c:pt idx="4">
                  <c:v>0.77859999999999996</c:v>
                </c:pt>
              </c:numCache>
            </c:numRef>
          </c:yVal>
          <c:smooth val="1"/>
          <c:extLst xmlns:c16r2="http://schemas.microsoft.com/office/drawing/2015/06/chart">
            <c:ext xmlns:c16="http://schemas.microsoft.com/office/drawing/2014/chart" uri="{C3380CC4-5D6E-409C-BE32-E72D297353CC}">
              <c16:uniqueId val="{00000001-05B7-4934-B712-E85926B08388}"/>
            </c:ext>
          </c:extLst>
        </c:ser>
        <c:ser>
          <c:idx val="0"/>
          <c:order val="2"/>
          <c:tx>
            <c:v>VID1 DC LL</c:v>
          </c:tx>
          <c:spPr>
            <a:ln>
              <a:solidFill>
                <a:srgbClr val="0070C0"/>
              </a:solidFill>
            </a:ln>
          </c:spPr>
          <c:marker>
            <c:symbol val="none"/>
          </c:marker>
          <c:xVal>
            <c:numRef>
              <c:f>'Static LL'!$M$18:$M$22</c:f>
              <c:numCache>
                <c:formatCode>0</c:formatCode>
                <c:ptCount val="5"/>
                <c:pt idx="0">
                  <c:v>28</c:v>
                </c:pt>
                <c:pt idx="1">
                  <c:v>33</c:v>
                </c:pt>
                <c:pt idx="2">
                  <c:v>38</c:v>
                </c:pt>
                <c:pt idx="3">
                  <c:v>43</c:v>
                </c:pt>
                <c:pt idx="4">
                  <c:v>48</c:v>
                </c:pt>
              </c:numCache>
            </c:numRef>
          </c:xVal>
          <c:yVal>
            <c:numRef>
              <c:f>'Static LL'!$N$18:$N$22</c:f>
              <c:numCache>
                <c:formatCode>0.0000_ </c:formatCode>
                <c:ptCount val="5"/>
                <c:pt idx="0">
                  <c:v>0.85270000000000001</c:v>
                </c:pt>
                <c:pt idx="1">
                  <c:v>0.84370000000000001</c:v>
                </c:pt>
                <c:pt idx="2">
                  <c:v>0.8347</c:v>
                </c:pt>
                <c:pt idx="3">
                  <c:v>0.82540000000000002</c:v>
                </c:pt>
                <c:pt idx="4">
                  <c:v>0.81620000000000004</c:v>
                </c:pt>
              </c:numCache>
            </c:numRef>
          </c:yVal>
          <c:smooth val="1"/>
          <c:extLst xmlns:c16r2="http://schemas.microsoft.com/office/drawing/2015/06/chart">
            <c:ext xmlns:c16="http://schemas.microsoft.com/office/drawing/2014/chart" uri="{C3380CC4-5D6E-409C-BE32-E72D297353CC}">
              <c16:uniqueId val="{00000002-05B7-4934-B712-E85926B08388}"/>
            </c:ext>
          </c:extLst>
        </c:ser>
        <c:ser>
          <c:idx val="7"/>
          <c:order val="3"/>
          <c:tx>
            <c:v>DC LL + Ripple</c:v>
          </c:tx>
          <c:spPr>
            <a:ln w="22225">
              <a:solidFill>
                <a:schemeClr val="tx2">
                  <a:lumMod val="40000"/>
                  <a:lumOff val="60000"/>
                </a:schemeClr>
              </a:solidFill>
            </a:ln>
          </c:spPr>
          <c:marker>
            <c:symbol val="none"/>
          </c:marker>
          <c:xVal>
            <c:numRef>
              <c:f>'Static LL'!$M$18:$M$22</c:f>
              <c:numCache>
                <c:formatCode>0</c:formatCode>
                <c:ptCount val="5"/>
                <c:pt idx="0">
                  <c:v>28</c:v>
                </c:pt>
                <c:pt idx="1">
                  <c:v>33</c:v>
                </c:pt>
                <c:pt idx="2">
                  <c:v>38</c:v>
                </c:pt>
                <c:pt idx="3">
                  <c:v>43</c:v>
                </c:pt>
                <c:pt idx="4">
                  <c:v>48</c:v>
                </c:pt>
              </c:numCache>
            </c:numRef>
          </c:xVal>
          <c:yVal>
            <c:numRef>
              <c:f>'Static LL'!$F$18:$F$22</c:f>
              <c:numCache>
                <c:formatCode>0.0000</c:formatCode>
                <c:ptCount val="5"/>
                <c:pt idx="0">
                  <c:v>0.86309999999999998</c:v>
                </c:pt>
                <c:pt idx="1">
                  <c:v>0.85370000000000001</c:v>
                </c:pt>
                <c:pt idx="2">
                  <c:v>0.84489999999999998</c:v>
                </c:pt>
                <c:pt idx="3">
                  <c:v>0.83510000000000006</c:v>
                </c:pt>
                <c:pt idx="4">
                  <c:v>0.82620000000000005</c:v>
                </c:pt>
              </c:numCache>
            </c:numRef>
          </c:yVal>
          <c:smooth val="1"/>
          <c:extLst xmlns:c16r2="http://schemas.microsoft.com/office/drawing/2015/06/chart">
            <c:ext xmlns:c16="http://schemas.microsoft.com/office/drawing/2014/chart" uri="{C3380CC4-5D6E-409C-BE32-E72D297353CC}">
              <c16:uniqueId val="{00000003-05B7-4934-B712-E85926B08388}"/>
            </c:ext>
          </c:extLst>
        </c:ser>
        <c:ser>
          <c:idx val="8"/>
          <c:order val="4"/>
          <c:tx>
            <c:v>DC LL - Ripple</c:v>
          </c:tx>
          <c:spPr>
            <a:ln w="22225">
              <a:solidFill>
                <a:schemeClr val="tx2">
                  <a:lumMod val="40000"/>
                  <a:lumOff val="60000"/>
                </a:schemeClr>
              </a:solidFill>
            </a:ln>
          </c:spPr>
          <c:marker>
            <c:symbol val="none"/>
          </c:marker>
          <c:xVal>
            <c:numRef>
              <c:f>'Static LL'!$M$18:$M$22</c:f>
              <c:numCache>
                <c:formatCode>0</c:formatCode>
                <c:ptCount val="5"/>
                <c:pt idx="0">
                  <c:v>28</c:v>
                </c:pt>
                <c:pt idx="1">
                  <c:v>33</c:v>
                </c:pt>
                <c:pt idx="2">
                  <c:v>38</c:v>
                </c:pt>
                <c:pt idx="3">
                  <c:v>43</c:v>
                </c:pt>
                <c:pt idx="4">
                  <c:v>48</c:v>
                </c:pt>
              </c:numCache>
            </c:numRef>
          </c:xVal>
          <c:yVal>
            <c:numRef>
              <c:f>'Static LL'!$G$18:$G$22</c:f>
              <c:numCache>
                <c:formatCode>0.0000</c:formatCode>
                <c:ptCount val="5"/>
                <c:pt idx="0">
                  <c:v>0.84230000000000005</c:v>
                </c:pt>
                <c:pt idx="1">
                  <c:v>0.8337</c:v>
                </c:pt>
                <c:pt idx="2">
                  <c:v>0.82450000000000001</c:v>
                </c:pt>
                <c:pt idx="3">
                  <c:v>0.81569999999999998</c:v>
                </c:pt>
                <c:pt idx="4">
                  <c:v>0.80620000000000003</c:v>
                </c:pt>
              </c:numCache>
            </c:numRef>
          </c:yVal>
          <c:smooth val="1"/>
          <c:extLst xmlns:c16r2="http://schemas.microsoft.com/office/drawing/2015/06/chart">
            <c:ext xmlns:c16="http://schemas.microsoft.com/office/drawing/2014/chart" uri="{C3380CC4-5D6E-409C-BE32-E72D297353CC}">
              <c16:uniqueId val="{00000004-05B7-4934-B712-E85926B08388}"/>
            </c:ext>
          </c:extLst>
        </c:ser>
        <c:ser>
          <c:idx val="3"/>
          <c:order val="5"/>
          <c:tx>
            <c:v>Min LL Slope</c:v>
          </c:tx>
          <c:spPr>
            <a:ln>
              <a:solidFill>
                <a:srgbClr val="00B050"/>
              </a:solidFill>
              <a:prstDash val="sysDot"/>
            </a:ln>
          </c:spPr>
          <c:marker>
            <c:symbol val="none"/>
          </c:marker>
          <c:xVal>
            <c:numRef>
              <c:f>'Static LL'!$M$18:$M$22</c:f>
              <c:numCache>
                <c:formatCode>0</c:formatCode>
                <c:ptCount val="5"/>
                <c:pt idx="0">
                  <c:v>28</c:v>
                </c:pt>
                <c:pt idx="1">
                  <c:v>33</c:v>
                </c:pt>
                <c:pt idx="2">
                  <c:v>38</c:v>
                </c:pt>
                <c:pt idx="3">
                  <c:v>43</c:v>
                </c:pt>
                <c:pt idx="4">
                  <c:v>48</c:v>
                </c:pt>
              </c:numCache>
            </c:numRef>
          </c:xVal>
          <c:yVal>
            <c:numRef>
              <c:f>'Static LL'!$C$18:$C$22</c:f>
              <c:numCache>
                <c:formatCode>0.0000_ </c:formatCode>
                <c:ptCount val="5"/>
                <c:pt idx="0">
                  <c:v>0.85860000000000003</c:v>
                </c:pt>
                <c:pt idx="1">
                  <c:v>0.85067142857142863</c:v>
                </c:pt>
                <c:pt idx="2">
                  <c:v>0.84274285714285713</c:v>
                </c:pt>
                <c:pt idx="3">
                  <c:v>0.83481428571428573</c:v>
                </c:pt>
                <c:pt idx="4">
                  <c:v>0.82688571428571433</c:v>
                </c:pt>
              </c:numCache>
            </c:numRef>
          </c:yVal>
          <c:smooth val="1"/>
          <c:extLst xmlns:c16r2="http://schemas.microsoft.com/office/drawing/2015/06/chart">
            <c:ext xmlns:c16="http://schemas.microsoft.com/office/drawing/2014/chart" uri="{C3380CC4-5D6E-409C-BE32-E72D297353CC}">
              <c16:uniqueId val="{00000005-05B7-4934-B712-E85926B08388}"/>
            </c:ext>
          </c:extLst>
        </c:ser>
        <c:ser>
          <c:idx val="4"/>
          <c:order val="6"/>
          <c:tx>
            <c:v>Max LL Slope</c:v>
          </c:tx>
          <c:spPr>
            <a:ln>
              <a:solidFill>
                <a:srgbClr val="00B050"/>
              </a:solidFill>
              <a:prstDash val="sysDot"/>
            </a:ln>
          </c:spPr>
          <c:marker>
            <c:symbol val="none"/>
          </c:marker>
          <c:xVal>
            <c:numRef>
              <c:f>'Static LL'!$M$18:$M$22</c:f>
              <c:numCache>
                <c:formatCode>0</c:formatCode>
                <c:ptCount val="5"/>
                <c:pt idx="0">
                  <c:v>28</c:v>
                </c:pt>
                <c:pt idx="1">
                  <c:v>33</c:v>
                </c:pt>
                <c:pt idx="2">
                  <c:v>38</c:v>
                </c:pt>
                <c:pt idx="3">
                  <c:v>43</c:v>
                </c:pt>
                <c:pt idx="4">
                  <c:v>48</c:v>
                </c:pt>
              </c:numCache>
            </c:numRef>
          </c:xVal>
          <c:yVal>
            <c:numRef>
              <c:f>'Static LL'!$D$18:$D$22</c:f>
              <c:numCache>
                <c:formatCode>0.0000</c:formatCode>
                <c:ptCount val="5"/>
                <c:pt idx="0">
                  <c:v>0.84660000000000002</c:v>
                </c:pt>
                <c:pt idx="1">
                  <c:v>0.8365285714285714</c:v>
                </c:pt>
                <c:pt idx="2">
                  <c:v>0.82645714285714289</c:v>
                </c:pt>
                <c:pt idx="3">
                  <c:v>0.81638571428571427</c:v>
                </c:pt>
                <c:pt idx="4">
                  <c:v>0.80631428571428576</c:v>
                </c:pt>
              </c:numCache>
            </c:numRef>
          </c:yVal>
          <c:smooth val="1"/>
          <c:extLst xmlns:c16r2="http://schemas.microsoft.com/office/drawing/2015/06/chart">
            <c:ext xmlns:c16="http://schemas.microsoft.com/office/drawing/2014/chart" uri="{C3380CC4-5D6E-409C-BE32-E72D297353CC}">
              <c16:uniqueId val="{00000006-05B7-4934-B712-E85926B08388}"/>
            </c:ext>
          </c:extLst>
        </c:ser>
        <c:axId val="100909440"/>
        <c:axId val="100911360"/>
      </c:scatterChart>
      <c:valAx>
        <c:axId val="100909440"/>
        <c:scaling>
          <c:orientation val="minMax"/>
          <c:min val="50"/>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0911360"/>
        <c:crosses val="autoZero"/>
        <c:crossBetween val="midCat"/>
      </c:valAx>
      <c:valAx>
        <c:axId val="100911360"/>
        <c:scaling>
          <c:orientation val="minMax"/>
          <c:min val="1.55"/>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majorTickMark val="none"/>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0909440"/>
        <c:crosses val="autoZero"/>
        <c:crossBetween val="midCat"/>
      </c:valAx>
    </c:plotArea>
    <c:legend>
      <c:legendPos val="r"/>
      <c:layout>
        <c:manualLayout>
          <c:xMode val="edge"/>
          <c:yMode val="edge"/>
          <c:x val="0.7743167077519556"/>
          <c:y val="3.1088082901554411E-2"/>
          <c:w val="0.20364761585652871"/>
          <c:h val="0.31191750642568677"/>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VID2 - Complete Loadline</a:t>
            </a:r>
          </a:p>
        </c:rich>
      </c:tx>
      <c:layout>
        <c:manualLayout>
          <c:xMode val="edge"/>
          <c:yMode val="edge"/>
          <c:x val="0.3668033209706219"/>
          <c:y val="6.0449031708874237E-2"/>
        </c:manualLayout>
      </c:layout>
      <c:overlay val="1"/>
    </c:title>
    <c:plotArea>
      <c:layout>
        <c:manualLayout>
          <c:layoutTarget val="inner"/>
          <c:xMode val="edge"/>
          <c:yMode val="edge"/>
          <c:x val="3.9567593317850973E-2"/>
          <c:y val="3.5638556838426282E-2"/>
          <c:w val="0.79224535414748565"/>
          <c:h val="0.90433628438932157"/>
        </c:manualLayout>
      </c:layout>
      <c:scatterChart>
        <c:scatterStyle val="smoothMarker"/>
        <c:ser>
          <c:idx val="1"/>
          <c:order val="0"/>
          <c:tx>
            <c:v>Upper limit</c:v>
          </c:tx>
          <c:spPr>
            <a:ln>
              <a:solidFill>
                <a:srgbClr val="C00000"/>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LL'!$B$41:$B$51</c:f>
              <c:numCache>
                <c:formatCode>General</c:formatCode>
                <c:ptCount val="11"/>
                <c:pt idx="0">
                  <c:v>0.63500000000000001</c:v>
                </c:pt>
                <c:pt idx="1">
                  <c:v>0.63139999999999996</c:v>
                </c:pt>
                <c:pt idx="2">
                  <c:v>0.62419999999999998</c:v>
                </c:pt>
                <c:pt idx="3">
                  <c:v>0.61699999999999999</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0-7925-497A-AA10-F2A089B312A4}"/>
            </c:ext>
          </c:extLst>
        </c:ser>
        <c:ser>
          <c:idx val="2"/>
          <c:order val="1"/>
          <c:tx>
            <c:v>Lower limit</c:v>
          </c:tx>
          <c:spPr>
            <a:ln>
              <a:solidFill>
                <a:srgbClr val="C00000"/>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LL'!$H$41:$H$51</c:f>
              <c:numCache>
                <c:formatCode>General</c:formatCode>
                <c:ptCount val="11"/>
                <c:pt idx="0">
                  <c:v>0.56499999999999995</c:v>
                </c:pt>
                <c:pt idx="1">
                  <c:v>0.5613999999999999</c:v>
                </c:pt>
                <c:pt idx="2">
                  <c:v>0.55419999999999991</c:v>
                </c:pt>
                <c:pt idx="3">
                  <c:v>0.54699999999999993</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1-7925-497A-AA10-F2A089B312A4}"/>
            </c:ext>
          </c:extLst>
        </c:ser>
        <c:ser>
          <c:idx val="0"/>
          <c:order val="2"/>
          <c:tx>
            <c:v>VID2 DC LL</c:v>
          </c:tx>
          <c:spPr>
            <a:ln>
              <a:solidFill>
                <a:srgbClr val="0070C0"/>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LL'!$N$41:$N$51</c:f>
              <c:numCache>
                <c:formatCode>0.0000_ </c:formatCode>
                <c:ptCount val="11"/>
                <c:pt idx="0">
                  <c:v>0.60199999999999998</c:v>
                </c:pt>
                <c:pt idx="1">
                  <c:v>0.59840000000000004</c:v>
                </c:pt>
                <c:pt idx="2">
                  <c:v>0.59099999999999997</c:v>
                </c:pt>
                <c:pt idx="3">
                  <c:v>0.58389999999999997</c:v>
                </c:pt>
              </c:numCache>
            </c:numRef>
          </c:yVal>
          <c:smooth val="1"/>
          <c:extLst xmlns:c16r2="http://schemas.microsoft.com/office/drawing/2015/06/chart">
            <c:ext xmlns:c16="http://schemas.microsoft.com/office/drawing/2014/chart" uri="{C3380CC4-5D6E-409C-BE32-E72D297353CC}">
              <c16:uniqueId val="{00000002-7925-497A-AA10-F2A089B312A4}"/>
            </c:ext>
          </c:extLst>
        </c:ser>
        <c:ser>
          <c:idx val="7"/>
          <c:order val="3"/>
          <c:tx>
            <c:v>DC LL + Ripple</c:v>
          </c:tx>
          <c:spPr>
            <a:ln w="22225">
              <a:solidFill>
                <a:schemeClr val="tx2">
                  <a:lumMod val="40000"/>
                  <a:lumOff val="60000"/>
                </a:schemeClr>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LL'!$F$41:$F$51</c:f>
              <c:numCache>
                <c:formatCode>0.0000</c:formatCode>
                <c:ptCount val="11"/>
                <c:pt idx="0">
                  <c:v>0.61019999999999996</c:v>
                </c:pt>
                <c:pt idx="1">
                  <c:v>0.60680000000000001</c:v>
                </c:pt>
                <c:pt idx="2">
                  <c:v>0.59939999999999993</c:v>
                </c:pt>
                <c:pt idx="3">
                  <c:v>0.59189999999999998</c:v>
                </c:pt>
                <c:pt idx="4">
                  <c:v>0</c:v>
                </c:pt>
                <c:pt idx="5">
                  <c:v>0</c:v>
                </c:pt>
                <c:pt idx="6">
                  <c:v>0</c:v>
                </c:pt>
                <c:pt idx="7">
                  <c:v>0</c:v>
                </c:pt>
                <c:pt idx="8">
                  <c:v>0</c:v>
                </c:pt>
                <c:pt idx="9">
                  <c:v>0</c:v>
                </c:pt>
                <c:pt idx="10">
                  <c:v>0</c:v>
                </c:pt>
              </c:numCache>
            </c:numRef>
          </c:yVal>
          <c:smooth val="1"/>
          <c:extLst xmlns:c16r2="http://schemas.microsoft.com/office/drawing/2015/06/chart">
            <c:ext xmlns:c16="http://schemas.microsoft.com/office/drawing/2014/chart" uri="{C3380CC4-5D6E-409C-BE32-E72D297353CC}">
              <c16:uniqueId val="{00000003-7925-497A-AA10-F2A089B312A4}"/>
            </c:ext>
          </c:extLst>
        </c:ser>
        <c:ser>
          <c:idx val="8"/>
          <c:order val="4"/>
          <c:tx>
            <c:v>DC LL - Ripple</c:v>
          </c:tx>
          <c:spPr>
            <a:ln w="22225">
              <a:solidFill>
                <a:schemeClr val="tx2">
                  <a:lumMod val="40000"/>
                  <a:lumOff val="60000"/>
                </a:schemeClr>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LL'!$G$41:$G$51</c:f>
              <c:numCache>
                <c:formatCode>0.0000</c:formatCode>
                <c:ptCount val="11"/>
                <c:pt idx="0">
                  <c:v>0.59379999999999999</c:v>
                </c:pt>
                <c:pt idx="1">
                  <c:v>0.59000000000000008</c:v>
                </c:pt>
                <c:pt idx="2">
                  <c:v>0.58260000000000001</c:v>
                </c:pt>
                <c:pt idx="3">
                  <c:v>0.57589999999999997</c:v>
                </c:pt>
                <c:pt idx="4">
                  <c:v>0</c:v>
                </c:pt>
                <c:pt idx="5">
                  <c:v>0</c:v>
                </c:pt>
                <c:pt idx="6">
                  <c:v>0</c:v>
                </c:pt>
                <c:pt idx="7">
                  <c:v>0</c:v>
                </c:pt>
                <c:pt idx="8">
                  <c:v>0</c:v>
                </c:pt>
                <c:pt idx="9">
                  <c:v>0</c:v>
                </c:pt>
                <c:pt idx="10">
                  <c:v>0</c:v>
                </c:pt>
              </c:numCache>
            </c:numRef>
          </c:yVal>
          <c:smooth val="1"/>
          <c:extLst xmlns:c16r2="http://schemas.microsoft.com/office/drawing/2015/06/chart">
            <c:ext xmlns:c16="http://schemas.microsoft.com/office/drawing/2014/chart" uri="{C3380CC4-5D6E-409C-BE32-E72D297353CC}">
              <c16:uniqueId val="{00000004-7925-497A-AA10-F2A089B312A4}"/>
            </c:ext>
          </c:extLst>
        </c:ser>
        <c:ser>
          <c:idx val="3"/>
          <c:order val="5"/>
          <c:tx>
            <c:v>Min LL Slope</c:v>
          </c:tx>
          <c:spPr>
            <a:ln>
              <a:solidFill>
                <a:srgbClr val="00B050"/>
              </a:solidFill>
              <a:prstDash val="sysDot"/>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LL'!$C$41:$C$51</c:f>
              <c:numCache>
                <c:formatCode>0.0000_ </c:formatCode>
                <c:ptCount val="11"/>
                <c:pt idx="0" formatCode="0.0000">
                  <c:v>0.60199999999999998</c:v>
                </c:pt>
                <c:pt idx="1">
                  <c:v>0.60139999999999993</c:v>
                </c:pt>
                <c:pt idx="2">
                  <c:v>0.60019999999999996</c:v>
                </c:pt>
                <c:pt idx="3">
                  <c:v>0.59899999999999998</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5-7925-497A-AA10-F2A089B312A4}"/>
            </c:ext>
          </c:extLst>
        </c:ser>
        <c:ser>
          <c:idx val="4"/>
          <c:order val="6"/>
          <c:tx>
            <c:v>Max LL Slope</c:v>
          </c:tx>
          <c:spPr>
            <a:ln>
              <a:solidFill>
                <a:srgbClr val="00B050"/>
              </a:solidFill>
              <a:prstDash val="sysDot"/>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LL'!$D$41:$D$51</c:f>
              <c:numCache>
                <c:formatCode>0.0000_ </c:formatCode>
                <c:ptCount val="11"/>
                <c:pt idx="0" formatCode="0.0000">
                  <c:v>0.60199999999999998</c:v>
                </c:pt>
                <c:pt idx="1">
                  <c:v>0.59539999999999993</c:v>
                </c:pt>
                <c:pt idx="2">
                  <c:v>0.58219999999999994</c:v>
                </c:pt>
                <c:pt idx="3">
                  <c:v>0.56899999999999995</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6-7925-497A-AA10-F2A089B312A4}"/>
            </c:ext>
          </c:extLst>
        </c:ser>
        <c:axId val="101483264"/>
        <c:axId val="101485568"/>
      </c:scatterChart>
      <c:scatterChart>
        <c:scatterStyle val="lineMarker"/>
        <c:ser>
          <c:idx val="9"/>
          <c:order val="7"/>
          <c:tx>
            <c:v>Min V @ 0A</c:v>
          </c:tx>
          <c:spPr>
            <a:ln w="28575">
              <a:noFill/>
            </a:ln>
          </c:spPr>
          <c:marker>
            <c:symbol val="dash"/>
            <c:size val="10"/>
            <c:spPr>
              <a:solidFill>
                <a:srgbClr val="00B050"/>
              </a:solidFill>
              <a:ln>
                <a:noFill/>
              </a:ln>
            </c:spPr>
          </c:marker>
          <c:xVal>
            <c:numRef>
              <c:f>'Static LL'!$M$41</c:f>
              <c:numCache>
                <c:formatCode>0</c:formatCode>
                <c:ptCount val="1"/>
                <c:pt idx="0">
                  <c:v>0</c:v>
                </c:pt>
              </c:numCache>
            </c:numRef>
          </c:xVal>
          <c:yVal>
            <c:numRef>
              <c:f>'Static LL'!$AO$41</c:f>
              <c:numCache>
                <c:formatCode>0.0000</c:formatCode>
                <c:ptCount val="1"/>
                <c:pt idx="0">
                  <c:v>0.59499999999999997</c:v>
                </c:pt>
              </c:numCache>
            </c:numRef>
          </c:yVal>
          <c:extLst xmlns:c16r2="http://schemas.microsoft.com/office/drawing/2015/06/chart">
            <c:ext xmlns:c16="http://schemas.microsoft.com/office/drawing/2014/chart" uri="{C3380CC4-5D6E-409C-BE32-E72D297353CC}">
              <c16:uniqueId val="{00000007-7925-497A-AA10-F2A089B312A4}"/>
            </c:ext>
          </c:extLst>
        </c:ser>
        <c:ser>
          <c:idx val="10"/>
          <c:order val="8"/>
          <c:tx>
            <c:v>Max V @ 0A</c:v>
          </c:tx>
          <c:spPr>
            <a:ln w="28575">
              <a:noFill/>
            </a:ln>
          </c:spPr>
          <c:marker>
            <c:symbol val="dash"/>
            <c:size val="10"/>
            <c:spPr>
              <a:solidFill>
                <a:srgbClr val="00B050"/>
              </a:solidFill>
              <a:ln>
                <a:noFill/>
              </a:ln>
            </c:spPr>
          </c:marker>
          <c:xVal>
            <c:numRef>
              <c:f>'Static LL'!$M$41</c:f>
              <c:numCache>
                <c:formatCode>0</c:formatCode>
                <c:ptCount val="1"/>
                <c:pt idx="0">
                  <c:v>0</c:v>
                </c:pt>
              </c:numCache>
            </c:numRef>
          </c:xVal>
          <c:yVal>
            <c:numRef>
              <c:f>'Static LL'!$AO$42</c:f>
              <c:numCache>
                <c:formatCode>0.0000</c:formatCode>
                <c:ptCount val="1"/>
                <c:pt idx="0">
                  <c:v>0.60499999999999998</c:v>
                </c:pt>
              </c:numCache>
            </c:numRef>
          </c:yVal>
          <c:extLst xmlns:c16r2="http://schemas.microsoft.com/office/drawing/2015/06/chart">
            <c:ext xmlns:c16="http://schemas.microsoft.com/office/drawing/2014/chart" uri="{C3380CC4-5D6E-409C-BE32-E72D297353CC}">
              <c16:uniqueId val="{00000008-7925-497A-AA10-F2A089B312A4}"/>
            </c:ext>
          </c:extLst>
        </c:ser>
        <c:axId val="101483264"/>
        <c:axId val="101485568"/>
      </c:scatterChart>
      <c:valAx>
        <c:axId val="101483264"/>
        <c:scaling>
          <c:orientation val="minMax"/>
          <c:max val="20"/>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485568"/>
        <c:crosses val="autoZero"/>
        <c:crossBetween val="midCat"/>
      </c:valAx>
      <c:valAx>
        <c:axId val="101485568"/>
        <c:scaling>
          <c:orientation val="minMax"/>
          <c:min val="1.6"/>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483264"/>
        <c:crosses val="autoZero"/>
        <c:crossBetween val="midCat"/>
      </c:valAx>
    </c:plotArea>
    <c:legend>
      <c:legendPos val="r"/>
      <c:layout>
        <c:manualLayout>
          <c:xMode val="edge"/>
          <c:yMode val="edge"/>
          <c:x val="0.82078640486394849"/>
          <c:y val="3.2032032032032032E-2"/>
          <c:w val="0.17521660974923126"/>
          <c:h val="0.33133159406125318"/>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22" l="0.70000000000000062" r="0.70000000000000062" t="0.750000000000001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VID2 - Loadline Zoom View 1</a:t>
            </a:r>
          </a:p>
        </c:rich>
      </c:tx>
      <c:layout>
        <c:manualLayout>
          <c:xMode val="edge"/>
          <c:yMode val="edge"/>
          <c:x val="0.36680339503968223"/>
          <c:y val="6.0449031708874237E-2"/>
        </c:manualLayout>
      </c:layout>
      <c:overlay val="1"/>
    </c:title>
    <c:plotArea>
      <c:layout>
        <c:manualLayout>
          <c:layoutTarget val="inner"/>
          <c:xMode val="edge"/>
          <c:yMode val="edge"/>
          <c:x val="3.9567593317850973E-2"/>
          <c:y val="3.5638556838426282E-2"/>
          <c:w val="0.79224535414748565"/>
          <c:h val="0.90433628438932157"/>
        </c:manualLayout>
      </c:layout>
      <c:scatterChart>
        <c:scatterStyle val="smoothMarker"/>
        <c:ser>
          <c:idx val="1"/>
          <c:order val="0"/>
          <c:tx>
            <c:v>Upper limit</c:v>
          </c:tx>
          <c:spPr>
            <a:ln>
              <a:solidFill>
                <a:srgbClr val="C00000"/>
              </a:solidFill>
            </a:ln>
          </c:spPr>
          <c:marker>
            <c:symbol val="none"/>
          </c:marker>
          <c:xVal>
            <c:numRef>
              <c:f>'Static LL'!$M$41:$M$44</c:f>
              <c:numCache>
                <c:formatCode>0</c:formatCode>
                <c:ptCount val="4"/>
                <c:pt idx="0">
                  <c:v>0</c:v>
                </c:pt>
                <c:pt idx="1">
                  <c:v>2</c:v>
                </c:pt>
                <c:pt idx="2">
                  <c:v>6</c:v>
                </c:pt>
                <c:pt idx="3">
                  <c:v>10</c:v>
                </c:pt>
              </c:numCache>
            </c:numRef>
          </c:xVal>
          <c:yVal>
            <c:numRef>
              <c:f>'Static LL'!$B$41:$B$44</c:f>
              <c:numCache>
                <c:formatCode>General</c:formatCode>
                <c:ptCount val="4"/>
                <c:pt idx="0">
                  <c:v>0.63500000000000001</c:v>
                </c:pt>
                <c:pt idx="1">
                  <c:v>0.63139999999999996</c:v>
                </c:pt>
                <c:pt idx="2">
                  <c:v>0.62419999999999998</c:v>
                </c:pt>
                <c:pt idx="3">
                  <c:v>0.61699999999999999</c:v>
                </c:pt>
              </c:numCache>
            </c:numRef>
          </c:yVal>
          <c:smooth val="1"/>
          <c:extLst xmlns:c16r2="http://schemas.microsoft.com/office/drawing/2015/06/chart">
            <c:ext xmlns:c16="http://schemas.microsoft.com/office/drawing/2014/chart" uri="{C3380CC4-5D6E-409C-BE32-E72D297353CC}">
              <c16:uniqueId val="{00000000-E7A8-4AEC-B224-D59314008783}"/>
            </c:ext>
          </c:extLst>
        </c:ser>
        <c:ser>
          <c:idx val="2"/>
          <c:order val="1"/>
          <c:tx>
            <c:v>Lower limit</c:v>
          </c:tx>
          <c:spPr>
            <a:ln>
              <a:solidFill>
                <a:srgbClr val="C00000"/>
              </a:solidFill>
            </a:ln>
          </c:spPr>
          <c:marker>
            <c:symbol val="none"/>
          </c:marker>
          <c:xVal>
            <c:numRef>
              <c:f>'Static LL'!$M$41:$M$44</c:f>
              <c:numCache>
                <c:formatCode>0</c:formatCode>
                <c:ptCount val="4"/>
                <c:pt idx="0">
                  <c:v>0</c:v>
                </c:pt>
                <c:pt idx="1">
                  <c:v>2</c:v>
                </c:pt>
                <c:pt idx="2">
                  <c:v>6</c:v>
                </c:pt>
                <c:pt idx="3">
                  <c:v>10</c:v>
                </c:pt>
              </c:numCache>
            </c:numRef>
          </c:xVal>
          <c:yVal>
            <c:numRef>
              <c:f>'Static LL'!$H$41:$H$44</c:f>
              <c:numCache>
                <c:formatCode>General</c:formatCode>
                <c:ptCount val="4"/>
                <c:pt idx="0">
                  <c:v>0.56499999999999995</c:v>
                </c:pt>
                <c:pt idx="1">
                  <c:v>0.5613999999999999</c:v>
                </c:pt>
                <c:pt idx="2">
                  <c:v>0.55419999999999991</c:v>
                </c:pt>
                <c:pt idx="3">
                  <c:v>0.54699999999999993</c:v>
                </c:pt>
              </c:numCache>
            </c:numRef>
          </c:yVal>
          <c:smooth val="1"/>
          <c:extLst xmlns:c16r2="http://schemas.microsoft.com/office/drawing/2015/06/chart">
            <c:ext xmlns:c16="http://schemas.microsoft.com/office/drawing/2014/chart" uri="{C3380CC4-5D6E-409C-BE32-E72D297353CC}">
              <c16:uniqueId val="{00000001-E7A8-4AEC-B224-D59314008783}"/>
            </c:ext>
          </c:extLst>
        </c:ser>
        <c:ser>
          <c:idx val="0"/>
          <c:order val="2"/>
          <c:tx>
            <c:v>VID2 DC LL</c:v>
          </c:tx>
          <c:spPr>
            <a:ln>
              <a:solidFill>
                <a:srgbClr val="0070C0"/>
              </a:solidFill>
            </a:ln>
          </c:spPr>
          <c:marker>
            <c:symbol val="none"/>
          </c:marker>
          <c:xVal>
            <c:numRef>
              <c:f>'Static LL'!$M$41:$M$44</c:f>
              <c:numCache>
                <c:formatCode>0</c:formatCode>
                <c:ptCount val="4"/>
                <c:pt idx="0">
                  <c:v>0</c:v>
                </c:pt>
                <c:pt idx="1">
                  <c:v>2</c:v>
                </c:pt>
                <c:pt idx="2">
                  <c:v>6</c:v>
                </c:pt>
                <c:pt idx="3">
                  <c:v>10</c:v>
                </c:pt>
              </c:numCache>
            </c:numRef>
          </c:xVal>
          <c:yVal>
            <c:numRef>
              <c:f>'Static LL'!$N$41:$N$44</c:f>
              <c:numCache>
                <c:formatCode>0.0000_ </c:formatCode>
                <c:ptCount val="4"/>
                <c:pt idx="0">
                  <c:v>0.60199999999999998</c:v>
                </c:pt>
                <c:pt idx="1">
                  <c:v>0.59840000000000004</c:v>
                </c:pt>
                <c:pt idx="2">
                  <c:v>0.59099999999999997</c:v>
                </c:pt>
                <c:pt idx="3">
                  <c:v>0.58389999999999997</c:v>
                </c:pt>
              </c:numCache>
            </c:numRef>
          </c:yVal>
          <c:smooth val="1"/>
          <c:extLst xmlns:c16r2="http://schemas.microsoft.com/office/drawing/2015/06/chart">
            <c:ext xmlns:c16="http://schemas.microsoft.com/office/drawing/2014/chart" uri="{C3380CC4-5D6E-409C-BE32-E72D297353CC}">
              <c16:uniqueId val="{00000002-E7A8-4AEC-B224-D59314008783}"/>
            </c:ext>
          </c:extLst>
        </c:ser>
        <c:ser>
          <c:idx val="7"/>
          <c:order val="3"/>
          <c:tx>
            <c:v>DC LL + Ripple</c:v>
          </c:tx>
          <c:spPr>
            <a:ln w="22225">
              <a:solidFill>
                <a:schemeClr val="tx2">
                  <a:lumMod val="40000"/>
                  <a:lumOff val="60000"/>
                </a:schemeClr>
              </a:solidFill>
            </a:ln>
          </c:spPr>
          <c:marker>
            <c:symbol val="none"/>
          </c:marker>
          <c:xVal>
            <c:numRef>
              <c:f>'Static LL'!$M$41:$M$44</c:f>
              <c:numCache>
                <c:formatCode>0</c:formatCode>
                <c:ptCount val="4"/>
                <c:pt idx="0">
                  <c:v>0</c:v>
                </c:pt>
                <c:pt idx="1">
                  <c:v>2</c:v>
                </c:pt>
                <c:pt idx="2">
                  <c:v>6</c:v>
                </c:pt>
                <c:pt idx="3">
                  <c:v>10</c:v>
                </c:pt>
              </c:numCache>
            </c:numRef>
          </c:xVal>
          <c:yVal>
            <c:numRef>
              <c:f>'Static LL'!$F$41:$F$44</c:f>
              <c:numCache>
                <c:formatCode>0.0000</c:formatCode>
                <c:ptCount val="4"/>
                <c:pt idx="0">
                  <c:v>0.61019999999999996</c:v>
                </c:pt>
                <c:pt idx="1">
                  <c:v>0.60680000000000001</c:v>
                </c:pt>
                <c:pt idx="2">
                  <c:v>0.59939999999999993</c:v>
                </c:pt>
                <c:pt idx="3">
                  <c:v>0.59189999999999998</c:v>
                </c:pt>
              </c:numCache>
            </c:numRef>
          </c:yVal>
          <c:smooth val="1"/>
          <c:extLst xmlns:c16r2="http://schemas.microsoft.com/office/drawing/2015/06/chart">
            <c:ext xmlns:c16="http://schemas.microsoft.com/office/drawing/2014/chart" uri="{C3380CC4-5D6E-409C-BE32-E72D297353CC}">
              <c16:uniqueId val="{00000003-E7A8-4AEC-B224-D59314008783}"/>
            </c:ext>
          </c:extLst>
        </c:ser>
        <c:ser>
          <c:idx val="8"/>
          <c:order val="4"/>
          <c:tx>
            <c:v>DC LL - Ripple</c:v>
          </c:tx>
          <c:spPr>
            <a:ln w="22225">
              <a:solidFill>
                <a:schemeClr val="tx2">
                  <a:lumMod val="40000"/>
                  <a:lumOff val="60000"/>
                </a:schemeClr>
              </a:solidFill>
            </a:ln>
          </c:spPr>
          <c:marker>
            <c:symbol val="none"/>
          </c:marker>
          <c:xVal>
            <c:numRef>
              <c:f>'Static LL'!$M$41:$M$44</c:f>
              <c:numCache>
                <c:formatCode>0</c:formatCode>
                <c:ptCount val="4"/>
                <c:pt idx="0">
                  <c:v>0</c:v>
                </c:pt>
                <c:pt idx="1">
                  <c:v>2</c:v>
                </c:pt>
                <c:pt idx="2">
                  <c:v>6</c:v>
                </c:pt>
                <c:pt idx="3">
                  <c:v>10</c:v>
                </c:pt>
              </c:numCache>
            </c:numRef>
          </c:xVal>
          <c:yVal>
            <c:numRef>
              <c:f>'Static LL'!$G$41:$G$44</c:f>
              <c:numCache>
                <c:formatCode>0.0000</c:formatCode>
                <c:ptCount val="4"/>
                <c:pt idx="0">
                  <c:v>0.59379999999999999</c:v>
                </c:pt>
                <c:pt idx="1">
                  <c:v>0.59000000000000008</c:v>
                </c:pt>
                <c:pt idx="2">
                  <c:v>0.58260000000000001</c:v>
                </c:pt>
                <c:pt idx="3">
                  <c:v>0.57589999999999997</c:v>
                </c:pt>
              </c:numCache>
            </c:numRef>
          </c:yVal>
          <c:smooth val="1"/>
          <c:extLst xmlns:c16r2="http://schemas.microsoft.com/office/drawing/2015/06/chart">
            <c:ext xmlns:c16="http://schemas.microsoft.com/office/drawing/2014/chart" uri="{C3380CC4-5D6E-409C-BE32-E72D297353CC}">
              <c16:uniqueId val="{00000004-E7A8-4AEC-B224-D59314008783}"/>
            </c:ext>
          </c:extLst>
        </c:ser>
        <c:ser>
          <c:idx val="3"/>
          <c:order val="5"/>
          <c:tx>
            <c:v>Min LL Slope</c:v>
          </c:tx>
          <c:spPr>
            <a:ln>
              <a:solidFill>
                <a:srgbClr val="00B050"/>
              </a:solidFill>
              <a:prstDash val="sysDot"/>
            </a:ln>
          </c:spPr>
          <c:marker>
            <c:symbol val="none"/>
          </c:marker>
          <c:xVal>
            <c:numRef>
              <c:f>'Static LL'!$M$41:$M$44</c:f>
              <c:numCache>
                <c:formatCode>0</c:formatCode>
                <c:ptCount val="4"/>
                <c:pt idx="0">
                  <c:v>0</c:v>
                </c:pt>
                <c:pt idx="1">
                  <c:v>2</c:v>
                </c:pt>
                <c:pt idx="2">
                  <c:v>6</c:v>
                </c:pt>
                <c:pt idx="3">
                  <c:v>10</c:v>
                </c:pt>
              </c:numCache>
            </c:numRef>
          </c:xVal>
          <c:yVal>
            <c:numRef>
              <c:f>'Static LL'!$C$41:$C$44</c:f>
              <c:numCache>
                <c:formatCode>0.0000_ </c:formatCode>
                <c:ptCount val="4"/>
                <c:pt idx="0" formatCode="0.0000">
                  <c:v>0.60199999999999998</c:v>
                </c:pt>
                <c:pt idx="1">
                  <c:v>0.60139999999999993</c:v>
                </c:pt>
                <c:pt idx="2">
                  <c:v>0.60019999999999996</c:v>
                </c:pt>
                <c:pt idx="3">
                  <c:v>0.59899999999999998</c:v>
                </c:pt>
              </c:numCache>
            </c:numRef>
          </c:yVal>
          <c:smooth val="1"/>
          <c:extLst xmlns:c16r2="http://schemas.microsoft.com/office/drawing/2015/06/chart">
            <c:ext xmlns:c16="http://schemas.microsoft.com/office/drawing/2014/chart" uri="{C3380CC4-5D6E-409C-BE32-E72D297353CC}">
              <c16:uniqueId val="{00000005-E7A8-4AEC-B224-D59314008783}"/>
            </c:ext>
          </c:extLst>
        </c:ser>
        <c:ser>
          <c:idx val="4"/>
          <c:order val="6"/>
          <c:tx>
            <c:v>Max LL Slope</c:v>
          </c:tx>
          <c:spPr>
            <a:ln>
              <a:solidFill>
                <a:srgbClr val="00B050"/>
              </a:solidFill>
              <a:prstDash val="sysDot"/>
            </a:ln>
          </c:spPr>
          <c:marker>
            <c:symbol val="none"/>
          </c:marker>
          <c:xVal>
            <c:numRef>
              <c:f>'Static LL'!$M$41:$M$44</c:f>
              <c:numCache>
                <c:formatCode>0</c:formatCode>
                <c:ptCount val="4"/>
                <c:pt idx="0">
                  <c:v>0</c:v>
                </c:pt>
                <c:pt idx="1">
                  <c:v>2</c:v>
                </c:pt>
                <c:pt idx="2">
                  <c:v>6</c:v>
                </c:pt>
                <c:pt idx="3">
                  <c:v>10</c:v>
                </c:pt>
              </c:numCache>
            </c:numRef>
          </c:xVal>
          <c:yVal>
            <c:numRef>
              <c:f>'Static LL'!$D$41:$D$44</c:f>
              <c:numCache>
                <c:formatCode>0.0000_ </c:formatCode>
                <c:ptCount val="4"/>
                <c:pt idx="0" formatCode="0.0000">
                  <c:v>0.60199999999999998</c:v>
                </c:pt>
                <c:pt idx="1">
                  <c:v>0.59539999999999993</c:v>
                </c:pt>
                <c:pt idx="2">
                  <c:v>0.58219999999999994</c:v>
                </c:pt>
                <c:pt idx="3">
                  <c:v>0.56899999999999995</c:v>
                </c:pt>
              </c:numCache>
            </c:numRef>
          </c:yVal>
          <c:smooth val="1"/>
          <c:extLst xmlns:c16r2="http://schemas.microsoft.com/office/drawing/2015/06/chart">
            <c:ext xmlns:c16="http://schemas.microsoft.com/office/drawing/2014/chart" uri="{C3380CC4-5D6E-409C-BE32-E72D297353CC}">
              <c16:uniqueId val="{00000006-E7A8-4AEC-B224-D59314008783}"/>
            </c:ext>
          </c:extLst>
        </c:ser>
        <c:ser>
          <c:idx val="6"/>
          <c:order val="7"/>
          <c:tx>
            <c:v>Projected AC LL</c:v>
          </c:tx>
          <c:spPr>
            <a:ln w="25400">
              <a:solidFill>
                <a:srgbClr val="FFC000"/>
              </a:solidFill>
              <a:prstDash val="dashDot"/>
            </a:ln>
          </c:spPr>
          <c:marker>
            <c:symbol val="none"/>
          </c:marker>
          <c:xVal>
            <c:numRef>
              <c:f>'Static LL'!$M$41:$M$44</c:f>
              <c:numCache>
                <c:formatCode>0</c:formatCode>
                <c:ptCount val="4"/>
                <c:pt idx="0">
                  <c:v>0</c:v>
                </c:pt>
                <c:pt idx="1">
                  <c:v>2</c:v>
                </c:pt>
                <c:pt idx="2">
                  <c:v>6</c:v>
                </c:pt>
                <c:pt idx="3">
                  <c:v>10</c:v>
                </c:pt>
              </c:numCache>
            </c:numRef>
          </c:xVal>
          <c:yVal>
            <c:numRef>
              <c:f>'Static LL'!$A$41:$A$44</c:f>
              <c:numCache>
                <c:formatCode>General</c:formatCode>
                <c:ptCount val="4"/>
                <c:pt idx="0" formatCode="0.0000_ ">
                  <c:v>0.60199999999999998</c:v>
                </c:pt>
                <c:pt idx="1">
                  <c:v>0.59639399999999998</c:v>
                </c:pt>
                <c:pt idx="2">
                  <c:v>0.58518199999999998</c:v>
                </c:pt>
                <c:pt idx="3">
                  <c:v>0.57396999999999998</c:v>
                </c:pt>
              </c:numCache>
            </c:numRef>
          </c:yVal>
          <c:smooth val="1"/>
          <c:extLst xmlns:c16r2="http://schemas.microsoft.com/office/drawing/2015/06/chart">
            <c:ext xmlns:c16="http://schemas.microsoft.com/office/drawing/2014/chart" uri="{C3380CC4-5D6E-409C-BE32-E72D297353CC}">
              <c16:uniqueId val="{00000007-E7A8-4AEC-B224-D59314008783}"/>
            </c:ext>
          </c:extLst>
        </c:ser>
        <c:axId val="101436032"/>
        <c:axId val="101794944"/>
      </c:scatterChart>
      <c:scatterChart>
        <c:scatterStyle val="lineMarker"/>
        <c:ser>
          <c:idx val="9"/>
          <c:order val="8"/>
          <c:tx>
            <c:v>Min V @ 0A</c:v>
          </c:tx>
          <c:spPr>
            <a:ln w="28575">
              <a:noFill/>
            </a:ln>
          </c:spPr>
          <c:marker>
            <c:symbol val="dash"/>
            <c:size val="10"/>
            <c:spPr>
              <a:solidFill>
                <a:srgbClr val="00B050"/>
              </a:solidFill>
              <a:ln>
                <a:noFill/>
              </a:ln>
            </c:spPr>
          </c:marker>
          <c:xVal>
            <c:numRef>
              <c:f>'Static LL'!$M$41</c:f>
              <c:numCache>
                <c:formatCode>0</c:formatCode>
                <c:ptCount val="1"/>
                <c:pt idx="0">
                  <c:v>0</c:v>
                </c:pt>
              </c:numCache>
            </c:numRef>
          </c:xVal>
          <c:yVal>
            <c:numRef>
              <c:f>'Static LL'!$AO$41</c:f>
              <c:numCache>
                <c:formatCode>0.0000</c:formatCode>
                <c:ptCount val="1"/>
                <c:pt idx="0">
                  <c:v>0.59499999999999997</c:v>
                </c:pt>
              </c:numCache>
            </c:numRef>
          </c:yVal>
          <c:extLst xmlns:c16r2="http://schemas.microsoft.com/office/drawing/2015/06/chart">
            <c:ext xmlns:c16="http://schemas.microsoft.com/office/drawing/2014/chart" uri="{C3380CC4-5D6E-409C-BE32-E72D297353CC}">
              <c16:uniqueId val="{00000008-E7A8-4AEC-B224-D59314008783}"/>
            </c:ext>
          </c:extLst>
        </c:ser>
        <c:ser>
          <c:idx val="10"/>
          <c:order val="9"/>
          <c:tx>
            <c:v>Max V @ 0A</c:v>
          </c:tx>
          <c:spPr>
            <a:ln w="28575">
              <a:noFill/>
            </a:ln>
          </c:spPr>
          <c:marker>
            <c:symbol val="dash"/>
            <c:size val="10"/>
            <c:spPr>
              <a:solidFill>
                <a:srgbClr val="00B050"/>
              </a:solidFill>
              <a:ln>
                <a:noFill/>
              </a:ln>
            </c:spPr>
          </c:marker>
          <c:xVal>
            <c:numRef>
              <c:f>'Static LL'!$M$41</c:f>
              <c:numCache>
                <c:formatCode>0</c:formatCode>
                <c:ptCount val="1"/>
                <c:pt idx="0">
                  <c:v>0</c:v>
                </c:pt>
              </c:numCache>
            </c:numRef>
          </c:xVal>
          <c:yVal>
            <c:numRef>
              <c:f>'Static LL'!$AO$42</c:f>
              <c:numCache>
                <c:formatCode>0.0000</c:formatCode>
                <c:ptCount val="1"/>
                <c:pt idx="0">
                  <c:v>0.60499999999999998</c:v>
                </c:pt>
              </c:numCache>
            </c:numRef>
          </c:yVal>
          <c:extLst xmlns:c16r2="http://schemas.microsoft.com/office/drawing/2015/06/chart">
            <c:ext xmlns:c16="http://schemas.microsoft.com/office/drawing/2014/chart" uri="{C3380CC4-5D6E-409C-BE32-E72D297353CC}">
              <c16:uniqueId val="{00000009-E7A8-4AEC-B224-D59314008783}"/>
            </c:ext>
          </c:extLst>
        </c:ser>
        <c:axId val="101436032"/>
        <c:axId val="101794944"/>
      </c:scatterChart>
      <c:valAx>
        <c:axId val="101436032"/>
        <c:scaling>
          <c:orientation val="minMax"/>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794944"/>
        <c:crosses val="autoZero"/>
        <c:crossBetween val="midCat"/>
      </c:valAx>
      <c:valAx>
        <c:axId val="101794944"/>
        <c:scaling>
          <c:orientation val="minMax"/>
          <c:min val="1.6"/>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436032"/>
        <c:crosses val="autoZero"/>
        <c:crossBetween val="midCat"/>
      </c:valAx>
    </c:plotArea>
    <c:legend>
      <c:legendPos val="r"/>
      <c:layout>
        <c:manualLayout>
          <c:xMode val="edge"/>
          <c:yMode val="edge"/>
          <c:x val="0.81995831295686794"/>
          <c:y val="3.2032032032032032E-2"/>
          <c:w val="0.17585484996510814"/>
          <c:h val="0.33133159406125318"/>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VID2 - Loadline Zoom View 2</a:t>
            </a:r>
          </a:p>
        </c:rich>
      </c:tx>
      <c:layout>
        <c:manualLayout>
          <c:xMode val="edge"/>
          <c:yMode val="edge"/>
          <c:x val="0.3668033209706219"/>
          <c:y val="6.0449031708874237E-2"/>
        </c:manualLayout>
      </c:layout>
      <c:overlay val="1"/>
    </c:title>
    <c:plotArea>
      <c:layout>
        <c:manualLayout>
          <c:layoutTarget val="inner"/>
          <c:xMode val="edge"/>
          <c:yMode val="edge"/>
          <c:x val="3.9567593317850973E-2"/>
          <c:y val="3.5638556838426282E-2"/>
          <c:w val="0.79224535414748565"/>
          <c:h val="0.90433628438932157"/>
        </c:manualLayout>
      </c:layout>
      <c:scatterChart>
        <c:scatterStyle val="smoothMarker"/>
        <c:ser>
          <c:idx val="1"/>
          <c:order val="0"/>
          <c:tx>
            <c:v>Upper limit</c:v>
          </c:tx>
          <c:spPr>
            <a:ln>
              <a:solidFill>
                <a:srgbClr val="C00000"/>
              </a:solidFill>
            </a:ln>
          </c:spPr>
          <c:marker>
            <c:symbol val="none"/>
          </c:marker>
          <c:xVal>
            <c:numRef>
              <c:f>'Static LL'!$M$45:$M$48</c:f>
              <c:numCache>
                <c:formatCode>0</c:formatCode>
                <c:ptCount val="4"/>
                <c:pt idx="0">
                  <c:v>#N/A</c:v>
                </c:pt>
                <c:pt idx="1">
                  <c:v>#N/A</c:v>
                </c:pt>
                <c:pt idx="2">
                  <c:v>#N/A</c:v>
                </c:pt>
                <c:pt idx="3">
                  <c:v>#N/A</c:v>
                </c:pt>
              </c:numCache>
            </c:numRef>
          </c:xVal>
          <c:yVal>
            <c:numRef>
              <c:f>'Static LL'!$B$45:$B$48</c:f>
              <c:numCache>
                <c:formatCode>General</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0-40B6-40FC-80E1-C8418DB154EF}"/>
            </c:ext>
          </c:extLst>
        </c:ser>
        <c:ser>
          <c:idx val="2"/>
          <c:order val="1"/>
          <c:tx>
            <c:v>Lower limit</c:v>
          </c:tx>
          <c:spPr>
            <a:ln>
              <a:solidFill>
                <a:srgbClr val="C00000"/>
              </a:solidFill>
            </a:ln>
          </c:spPr>
          <c:marker>
            <c:symbol val="none"/>
          </c:marker>
          <c:xVal>
            <c:numRef>
              <c:f>'Static LL'!$M$45:$M$48</c:f>
              <c:numCache>
                <c:formatCode>0</c:formatCode>
                <c:ptCount val="4"/>
                <c:pt idx="0">
                  <c:v>#N/A</c:v>
                </c:pt>
                <c:pt idx="1">
                  <c:v>#N/A</c:v>
                </c:pt>
                <c:pt idx="2">
                  <c:v>#N/A</c:v>
                </c:pt>
                <c:pt idx="3">
                  <c:v>#N/A</c:v>
                </c:pt>
              </c:numCache>
            </c:numRef>
          </c:xVal>
          <c:yVal>
            <c:numRef>
              <c:f>'Static LL'!$H$45:$H$48</c:f>
              <c:numCache>
                <c:formatCode>General</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1-40B6-40FC-80E1-C8418DB154EF}"/>
            </c:ext>
          </c:extLst>
        </c:ser>
        <c:ser>
          <c:idx val="0"/>
          <c:order val="2"/>
          <c:tx>
            <c:v>VID2 DC LL</c:v>
          </c:tx>
          <c:spPr>
            <a:ln>
              <a:solidFill>
                <a:srgbClr val="0070C0"/>
              </a:solidFill>
            </a:ln>
          </c:spPr>
          <c:marker>
            <c:symbol val="none"/>
          </c:marker>
          <c:xVal>
            <c:numRef>
              <c:f>'Static LL'!$M$45:$M$48</c:f>
              <c:numCache>
                <c:formatCode>0</c:formatCode>
                <c:ptCount val="4"/>
                <c:pt idx="0">
                  <c:v>#N/A</c:v>
                </c:pt>
                <c:pt idx="1">
                  <c:v>#N/A</c:v>
                </c:pt>
                <c:pt idx="2">
                  <c:v>#N/A</c:v>
                </c:pt>
                <c:pt idx="3">
                  <c:v>#N/A</c:v>
                </c:pt>
              </c:numCache>
            </c:numRef>
          </c:xVal>
          <c:yVal>
            <c:numRef>
              <c:f>'Static LL'!$N$45:$N$48</c:f>
              <c:numCache>
                <c:formatCode>0.0000_ </c:formatCode>
                <c:ptCount val="4"/>
              </c:numCache>
            </c:numRef>
          </c:yVal>
          <c:smooth val="1"/>
          <c:extLst xmlns:c16r2="http://schemas.microsoft.com/office/drawing/2015/06/chart">
            <c:ext xmlns:c16="http://schemas.microsoft.com/office/drawing/2014/chart" uri="{C3380CC4-5D6E-409C-BE32-E72D297353CC}">
              <c16:uniqueId val="{00000002-40B6-40FC-80E1-C8418DB154EF}"/>
            </c:ext>
          </c:extLst>
        </c:ser>
        <c:ser>
          <c:idx val="7"/>
          <c:order val="3"/>
          <c:tx>
            <c:v>DC LL + Ripple</c:v>
          </c:tx>
          <c:spPr>
            <a:ln w="22225">
              <a:solidFill>
                <a:schemeClr val="tx2">
                  <a:lumMod val="40000"/>
                  <a:lumOff val="60000"/>
                </a:schemeClr>
              </a:solidFill>
            </a:ln>
          </c:spPr>
          <c:marker>
            <c:symbol val="none"/>
          </c:marker>
          <c:xVal>
            <c:numRef>
              <c:f>'Static LL'!$M$45:$M$48</c:f>
              <c:numCache>
                <c:formatCode>0</c:formatCode>
                <c:ptCount val="4"/>
                <c:pt idx="0">
                  <c:v>#N/A</c:v>
                </c:pt>
                <c:pt idx="1">
                  <c:v>#N/A</c:v>
                </c:pt>
                <c:pt idx="2">
                  <c:v>#N/A</c:v>
                </c:pt>
                <c:pt idx="3">
                  <c:v>#N/A</c:v>
                </c:pt>
              </c:numCache>
            </c:numRef>
          </c:xVal>
          <c:yVal>
            <c:numRef>
              <c:f>'Static LL'!$F$45:$F$48</c:f>
              <c:numCache>
                <c:formatCode>0.0000</c:formatCode>
                <c:ptCount val="4"/>
                <c:pt idx="0">
                  <c:v>0</c:v>
                </c:pt>
                <c:pt idx="1">
                  <c:v>0</c:v>
                </c:pt>
                <c:pt idx="2">
                  <c:v>0</c:v>
                </c:pt>
                <c:pt idx="3">
                  <c:v>0</c:v>
                </c:pt>
              </c:numCache>
            </c:numRef>
          </c:yVal>
          <c:smooth val="1"/>
          <c:extLst xmlns:c16r2="http://schemas.microsoft.com/office/drawing/2015/06/chart">
            <c:ext xmlns:c16="http://schemas.microsoft.com/office/drawing/2014/chart" uri="{C3380CC4-5D6E-409C-BE32-E72D297353CC}">
              <c16:uniqueId val="{00000003-40B6-40FC-80E1-C8418DB154EF}"/>
            </c:ext>
          </c:extLst>
        </c:ser>
        <c:ser>
          <c:idx val="8"/>
          <c:order val="4"/>
          <c:tx>
            <c:v>DC LL - Ripple</c:v>
          </c:tx>
          <c:spPr>
            <a:ln w="22225">
              <a:solidFill>
                <a:schemeClr val="tx2">
                  <a:lumMod val="40000"/>
                  <a:lumOff val="60000"/>
                </a:schemeClr>
              </a:solidFill>
            </a:ln>
          </c:spPr>
          <c:marker>
            <c:symbol val="none"/>
          </c:marker>
          <c:xVal>
            <c:numRef>
              <c:f>'Static LL'!$M$45:$M$48</c:f>
              <c:numCache>
                <c:formatCode>0</c:formatCode>
                <c:ptCount val="4"/>
                <c:pt idx="0">
                  <c:v>#N/A</c:v>
                </c:pt>
                <c:pt idx="1">
                  <c:v>#N/A</c:v>
                </c:pt>
                <c:pt idx="2">
                  <c:v>#N/A</c:v>
                </c:pt>
                <c:pt idx="3">
                  <c:v>#N/A</c:v>
                </c:pt>
              </c:numCache>
            </c:numRef>
          </c:xVal>
          <c:yVal>
            <c:numRef>
              <c:f>'Static LL'!$G$45:$G$48</c:f>
              <c:numCache>
                <c:formatCode>0.0000</c:formatCode>
                <c:ptCount val="4"/>
                <c:pt idx="0">
                  <c:v>0</c:v>
                </c:pt>
                <c:pt idx="1">
                  <c:v>0</c:v>
                </c:pt>
                <c:pt idx="2">
                  <c:v>0</c:v>
                </c:pt>
                <c:pt idx="3">
                  <c:v>0</c:v>
                </c:pt>
              </c:numCache>
            </c:numRef>
          </c:yVal>
          <c:smooth val="1"/>
          <c:extLst xmlns:c16r2="http://schemas.microsoft.com/office/drawing/2015/06/chart">
            <c:ext xmlns:c16="http://schemas.microsoft.com/office/drawing/2014/chart" uri="{C3380CC4-5D6E-409C-BE32-E72D297353CC}">
              <c16:uniqueId val="{00000004-40B6-40FC-80E1-C8418DB154EF}"/>
            </c:ext>
          </c:extLst>
        </c:ser>
        <c:ser>
          <c:idx val="3"/>
          <c:order val="5"/>
          <c:tx>
            <c:v>Min LL Slope</c:v>
          </c:tx>
          <c:spPr>
            <a:ln>
              <a:solidFill>
                <a:srgbClr val="00B050"/>
              </a:solidFill>
              <a:prstDash val="sysDot"/>
            </a:ln>
          </c:spPr>
          <c:marker>
            <c:symbol val="none"/>
          </c:marker>
          <c:xVal>
            <c:numRef>
              <c:f>'Static LL'!$M$45:$M$48</c:f>
              <c:numCache>
                <c:formatCode>0</c:formatCode>
                <c:ptCount val="4"/>
                <c:pt idx="0">
                  <c:v>#N/A</c:v>
                </c:pt>
                <c:pt idx="1">
                  <c:v>#N/A</c:v>
                </c:pt>
                <c:pt idx="2">
                  <c:v>#N/A</c:v>
                </c:pt>
                <c:pt idx="3">
                  <c:v>#N/A</c:v>
                </c:pt>
              </c:numCache>
            </c:numRef>
          </c:xVal>
          <c:yVal>
            <c:numRef>
              <c:f>'Static LL'!$C$45:$C$48</c:f>
              <c:numCache>
                <c:formatCode>0.0000_ </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5-40B6-40FC-80E1-C8418DB154EF}"/>
            </c:ext>
          </c:extLst>
        </c:ser>
        <c:ser>
          <c:idx val="4"/>
          <c:order val="6"/>
          <c:tx>
            <c:v>Max LL Slope</c:v>
          </c:tx>
          <c:spPr>
            <a:ln>
              <a:solidFill>
                <a:srgbClr val="00B050"/>
              </a:solidFill>
              <a:prstDash val="sysDot"/>
            </a:ln>
          </c:spPr>
          <c:marker>
            <c:symbol val="none"/>
          </c:marker>
          <c:xVal>
            <c:numRef>
              <c:f>'Static LL'!$M$45:$M$48</c:f>
              <c:numCache>
                <c:formatCode>0</c:formatCode>
                <c:ptCount val="4"/>
                <c:pt idx="0">
                  <c:v>#N/A</c:v>
                </c:pt>
                <c:pt idx="1">
                  <c:v>#N/A</c:v>
                </c:pt>
                <c:pt idx="2">
                  <c:v>#N/A</c:v>
                </c:pt>
                <c:pt idx="3">
                  <c:v>#N/A</c:v>
                </c:pt>
              </c:numCache>
            </c:numRef>
          </c:xVal>
          <c:yVal>
            <c:numRef>
              <c:f>'Static LL'!$D$45:$D$48</c:f>
              <c:numCache>
                <c:formatCode>0.0000_ </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6-40B6-40FC-80E1-C8418DB154EF}"/>
            </c:ext>
          </c:extLst>
        </c:ser>
        <c:ser>
          <c:idx val="6"/>
          <c:order val="7"/>
          <c:tx>
            <c:v>Projected AC LL</c:v>
          </c:tx>
          <c:spPr>
            <a:ln w="25400">
              <a:solidFill>
                <a:srgbClr val="FFC000"/>
              </a:solidFill>
              <a:prstDash val="dashDot"/>
            </a:ln>
          </c:spPr>
          <c:marker>
            <c:symbol val="none"/>
          </c:marker>
          <c:xVal>
            <c:numRef>
              <c:f>'Static LL'!$M$45:$M$48</c:f>
              <c:numCache>
                <c:formatCode>0</c:formatCode>
                <c:ptCount val="4"/>
                <c:pt idx="0">
                  <c:v>#N/A</c:v>
                </c:pt>
                <c:pt idx="1">
                  <c:v>#N/A</c:v>
                </c:pt>
                <c:pt idx="2">
                  <c:v>#N/A</c:v>
                </c:pt>
                <c:pt idx="3">
                  <c:v>#N/A</c:v>
                </c:pt>
              </c:numCache>
            </c:numRef>
          </c:xVal>
          <c:yVal>
            <c:numRef>
              <c:f>'Static LL'!$A$45:$A$48</c:f>
              <c:numCache>
                <c:formatCode>General</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7-40B6-40FC-80E1-C8418DB154EF}"/>
            </c:ext>
          </c:extLst>
        </c:ser>
        <c:axId val="101837056"/>
        <c:axId val="101847424"/>
      </c:scatterChart>
      <c:valAx>
        <c:axId val="101837056"/>
        <c:scaling>
          <c:orientation val="minMax"/>
          <c:min val="6"/>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847424"/>
        <c:crosses val="autoZero"/>
        <c:crossBetween val="midCat"/>
      </c:valAx>
      <c:valAx>
        <c:axId val="101847424"/>
        <c:scaling>
          <c:orientation val="minMax"/>
          <c:min val="1.6"/>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837056"/>
        <c:crosses val="autoZero"/>
        <c:crossBetween val="midCat"/>
      </c:valAx>
    </c:plotArea>
    <c:legend>
      <c:legendPos val="r"/>
      <c:layout>
        <c:manualLayout>
          <c:xMode val="edge"/>
          <c:yMode val="edge"/>
          <c:x val="0.82078640486394849"/>
          <c:y val="3.2032032032032032E-2"/>
          <c:w val="0.17521660974923126"/>
          <c:h val="0.33133159406125318"/>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TW"/>
  <c:chart>
    <c:plotArea>
      <c:layout>
        <c:manualLayout>
          <c:layoutTarget val="inner"/>
          <c:xMode val="edge"/>
          <c:yMode val="edge"/>
          <c:x val="8.7976622922134734E-2"/>
          <c:y val="3.4115141345036785E-2"/>
          <c:w val="0.81418624671916007"/>
          <c:h val="0.8653405619379535"/>
        </c:manualLayout>
      </c:layout>
      <c:scatterChart>
        <c:scatterStyle val="lineMarker"/>
        <c:ser>
          <c:idx val="0"/>
          <c:order val="5"/>
          <c:tx>
            <c:strRef>
              <c:f>'Static LL'!$C$10</c:f>
              <c:strCache>
                <c:ptCount val="1"/>
                <c:pt idx="0">
                  <c:v>Min LL Slope</c:v>
                </c:pt>
              </c:strCache>
            </c:strRef>
          </c:tx>
          <c:spPr>
            <a:ln>
              <a:solidFill>
                <a:srgbClr val="00B050"/>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LL'!$C$11:$C$22</c:f>
              <c:numCache>
                <c:formatCode>0.0000_ </c:formatCode>
                <c:ptCount val="12"/>
                <c:pt idx="0" formatCode="0.0000">
                  <c:v>0.90300000000000002</c:v>
                </c:pt>
                <c:pt idx="1">
                  <c:v>0.89982857142857142</c:v>
                </c:pt>
                <c:pt idx="2">
                  <c:v>0.89348571428571433</c:v>
                </c:pt>
                <c:pt idx="3">
                  <c:v>0.88714285714285712</c:v>
                </c:pt>
                <c:pt idx="4">
                  <c:v>0.88080000000000003</c:v>
                </c:pt>
                <c:pt idx="5">
                  <c:v>0.87445714285714293</c:v>
                </c:pt>
                <c:pt idx="6">
                  <c:v>0.86652857142857143</c:v>
                </c:pt>
                <c:pt idx="7">
                  <c:v>0.85860000000000003</c:v>
                </c:pt>
                <c:pt idx="8">
                  <c:v>0.85067142857142863</c:v>
                </c:pt>
                <c:pt idx="9">
                  <c:v>0.84274285714285713</c:v>
                </c:pt>
                <c:pt idx="10">
                  <c:v>0.83481428571428573</c:v>
                </c:pt>
                <c:pt idx="11">
                  <c:v>0.82688571428571433</c:v>
                </c:pt>
              </c:numCache>
            </c:numRef>
          </c:yVal>
          <c:extLst xmlns:c16r2="http://schemas.microsoft.com/office/drawing/2015/06/chart">
            <c:ext xmlns:c16="http://schemas.microsoft.com/office/drawing/2014/chart" uri="{C3380CC4-5D6E-409C-BE32-E72D297353CC}">
              <c16:uniqueId val="{00000000-DFC3-491B-B919-88CEBD6A216F}"/>
            </c:ext>
          </c:extLst>
        </c:ser>
        <c:ser>
          <c:idx val="2"/>
          <c:order val="6"/>
          <c:tx>
            <c:strRef>
              <c:f>'Static LL'!$D$10</c:f>
              <c:strCache>
                <c:ptCount val="1"/>
                <c:pt idx="0">
                  <c:v>Max LL Slope</c:v>
                </c:pt>
              </c:strCache>
            </c:strRef>
          </c:tx>
          <c:spPr>
            <a:ln>
              <a:solidFill>
                <a:srgbClr val="00B050"/>
              </a:solidFill>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LL'!$D$11:$D$22</c:f>
              <c:numCache>
                <c:formatCode>0.0000</c:formatCode>
                <c:ptCount val="12"/>
                <c:pt idx="0">
                  <c:v>0.90300000000000002</c:v>
                </c:pt>
                <c:pt idx="1">
                  <c:v>0.89897142857142864</c:v>
                </c:pt>
                <c:pt idx="2">
                  <c:v>0.89091428571428577</c:v>
                </c:pt>
                <c:pt idx="3">
                  <c:v>0.8828571428571429</c:v>
                </c:pt>
                <c:pt idx="4">
                  <c:v>0.87480000000000002</c:v>
                </c:pt>
                <c:pt idx="5">
                  <c:v>0.86674285714285715</c:v>
                </c:pt>
                <c:pt idx="6">
                  <c:v>0.85667142857142864</c:v>
                </c:pt>
                <c:pt idx="7">
                  <c:v>0.84660000000000002</c:v>
                </c:pt>
                <c:pt idx="8">
                  <c:v>0.8365285714285714</c:v>
                </c:pt>
                <c:pt idx="9">
                  <c:v>0.82645714285714289</c:v>
                </c:pt>
                <c:pt idx="10">
                  <c:v>0.81638571428571427</c:v>
                </c:pt>
                <c:pt idx="11">
                  <c:v>0.80631428571428576</c:v>
                </c:pt>
              </c:numCache>
            </c:numRef>
          </c:yVal>
          <c:extLst xmlns:c16r2="http://schemas.microsoft.com/office/drawing/2015/06/chart">
            <c:ext xmlns:c16="http://schemas.microsoft.com/office/drawing/2014/chart" uri="{C3380CC4-5D6E-409C-BE32-E72D297353CC}">
              <c16:uniqueId val="{00000001-DFC3-491B-B919-88CEBD6A216F}"/>
            </c:ext>
          </c:extLst>
        </c:ser>
        <c:axId val="96393088"/>
        <c:axId val="96207232"/>
      </c:scatterChart>
      <c:scatterChart>
        <c:scatterStyle val="smoothMarker"/>
        <c:ser>
          <c:idx val="1"/>
          <c:order val="0"/>
          <c:tx>
            <c:v>VID1 Loadline</c:v>
          </c:tx>
          <c:spPr>
            <a:ln w="3175">
              <a:solidFill>
                <a:srgbClr val="000080"/>
              </a:solidFill>
              <a:prstDash val="solid"/>
            </a:ln>
          </c:spPr>
          <c:marker>
            <c:symbol val="square"/>
            <c:size val="4"/>
            <c:spPr>
              <a:solidFill>
                <a:srgbClr val="000080"/>
              </a:solidFill>
              <a:ln>
                <a:solidFill>
                  <a:srgbClr val="000080"/>
                </a:solidFill>
                <a:prstDash val="solid"/>
              </a:ln>
            </c:spPr>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LL'!$N$11:$N$22</c:f>
              <c:numCache>
                <c:formatCode>0.0000_ </c:formatCode>
                <c:ptCount val="12"/>
                <c:pt idx="0">
                  <c:v>0.90300000000000002</c:v>
                </c:pt>
                <c:pt idx="1">
                  <c:v>0.89970000000000006</c:v>
                </c:pt>
                <c:pt idx="2">
                  <c:v>0.89239999999999997</c:v>
                </c:pt>
                <c:pt idx="3">
                  <c:v>0.88529999999999998</c:v>
                </c:pt>
                <c:pt idx="4">
                  <c:v>0.87809999999999999</c:v>
                </c:pt>
                <c:pt idx="5">
                  <c:v>0.87080000000000002</c:v>
                </c:pt>
                <c:pt idx="6">
                  <c:v>0.8619</c:v>
                </c:pt>
                <c:pt idx="7">
                  <c:v>0.85270000000000001</c:v>
                </c:pt>
                <c:pt idx="8">
                  <c:v>0.84370000000000001</c:v>
                </c:pt>
                <c:pt idx="9">
                  <c:v>0.8347</c:v>
                </c:pt>
                <c:pt idx="10">
                  <c:v>0.82540000000000002</c:v>
                </c:pt>
                <c:pt idx="11">
                  <c:v>0.81620000000000004</c:v>
                </c:pt>
              </c:numCache>
            </c:numRef>
          </c:yVal>
          <c:smooth val="1"/>
          <c:extLst xmlns:c16r2="http://schemas.microsoft.com/office/drawing/2015/06/chart">
            <c:ext xmlns:c16="http://schemas.microsoft.com/office/drawing/2014/chart" uri="{C3380CC4-5D6E-409C-BE32-E72D297353CC}">
              <c16:uniqueId val="{00000002-DFC3-491B-B919-88CEBD6A216F}"/>
            </c:ext>
          </c:extLst>
        </c:ser>
        <c:ser>
          <c:idx val="4"/>
          <c:order val="2"/>
          <c:tx>
            <c:v>Min V @ I_Min</c:v>
          </c:tx>
          <c:spPr>
            <a:ln w="38100">
              <a:solidFill>
                <a:srgbClr val="FF0000"/>
              </a:solidFill>
              <a:prstDash val="solid"/>
            </a:ln>
          </c:spPr>
          <c:marker>
            <c:symbol val="dash"/>
            <c:size val="7"/>
            <c:spPr>
              <a:noFill/>
              <a:ln>
                <a:solidFill>
                  <a:srgbClr val="FF0000"/>
                </a:solidFill>
                <a:prstDash val="solid"/>
              </a:ln>
            </c:spPr>
          </c:marker>
          <c:xVal>
            <c:numRef>
              <c:f>'Static LL'!$M$11</c:f>
              <c:numCache>
                <c:formatCode>0</c:formatCode>
                <c:ptCount val="1"/>
                <c:pt idx="0">
                  <c:v>0</c:v>
                </c:pt>
              </c:numCache>
            </c:numRef>
          </c:xVal>
          <c:yVal>
            <c:numRef>
              <c:f>'Static LL'!$AO$12</c:f>
              <c:numCache>
                <c:formatCode>General</c:formatCode>
                <c:ptCount val="1"/>
                <c:pt idx="0">
                  <c:v>0.89500000000000002</c:v>
                </c:pt>
              </c:numCache>
            </c:numRef>
          </c:yVal>
          <c:smooth val="1"/>
          <c:extLst xmlns:c16r2="http://schemas.microsoft.com/office/drawing/2015/06/chart">
            <c:ext xmlns:c16="http://schemas.microsoft.com/office/drawing/2014/chart" uri="{C3380CC4-5D6E-409C-BE32-E72D297353CC}">
              <c16:uniqueId val="{00000003-DFC3-491B-B919-88CEBD6A216F}"/>
            </c:ext>
          </c:extLst>
        </c:ser>
        <c:ser>
          <c:idx val="5"/>
          <c:order val="3"/>
          <c:tx>
            <c:v>Max V @ I_Min</c:v>
          </c:tx>
          <c:spPr>
            <a:ln w="38100">
              <a:solidFill>
                <a:srgbClr val="FF0000"/>
              </a:solidFill>
              <a:prstDash val="solid"/>
            </a:ln>
          </c:spPr>
          <c:marker>
            <c:symbol val="dash"/>
            <c:size val="7"/>
            <c:spPr>
              <a:solidFill>
                <a:srgbClr val="FF0000"/>
              </a:solidFill>
              <a:ln>
                <a:solidFill>
                  <a:srgbClr val="FF0000"/>
                </a:solidFill>
                <a:prstDash val="solid"/>
              </a:ln>
            </c:spPr>
          </c:marker>
          <c:xVal>
            <c:numRef>
              <c:f>'Static LL'!$M$11</c:f>
              <c:numCache>
                <c:formatCode>0</c:formatCode>
                <c:ptCount val="1"/>
                <c:pt idx="0">
                  <c:v>0</c:v>
                </c:pt>
              </c:numCache>
            </c:numRef>
          </c:xVal>
          <c:yVal>
            <c:numRef>
              <c:f>'Static LL'!$AO$13</c:f>
              <c:numCache>
                <c:formatCode>General</c:formatCode>
                <c:ptCount val="1"/>
                <c:pt idx="0">
                  <c:v>0.90500000000000003</c:v>
                </c:pt>
              </c:numCache>
            </c:numRef>
          </c:yVal>
          <c:smooth val="1"/>
          <c:extLst xmlns:c16r2="http://schemas.microsoft.com/office/drawing/2015/06/chart">
            <c:ext xmlns:c16="http://schemas.microsoft.com/office/drawing/2014/chart" uri="{C3380CC4-5D6E-409C-BE32-E72D297353CC}">
              <c16:uniqueId val="{00000004-DFC3-491B-B919-88CEBD6A216F}"/>
            </c:ext>
          </c:extLst>
        </c:ser>
        <c:ser>
          <c:idx val="6"/>
          <c:order val="4"/>
          <c:tx>
            <c:v>Ideal LL</c:v>
          </c:tx>
          <c:spPr>
            <a:ln w="25400">
              <a:solidFill>
                <a:srgbClr val="993366"/>
              </a:solidFill>
              <a:prstDash val="solid"/>
            </a:ln>
          </c:spPr>
          <c:marker>
            <c:symbol val="none"/>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LL'!$E$11:$E$22</c:f>
              <c:numCache>
                <c:formatCode>0.0000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1"/>
          <c:extLst xmlns:c16r2="http://schemas.microsoft.com/office/drawing/2015/06/chart">
            <c:ext xmlns:c16="http://schemas.microsoft.com/office/drawing/2014/chart" uri="{C3380CC4-5D6E-409C-BE32-E72D297353CC}">
              <c16:uniqueId val="{00000005-DFC3-491B-B919-88CEBD6A216F}"/>
            </c:ext>
          </c:extLst>
        </c:ser>
        <c:axId val="96393088"/>
        <c:axId val="96207232"/>
      </c:scatterChart>
      <c:scatterChart>
        <c:scatterStyle val="lineMarker"/>
        <c:ser>
          <c:idx val="3"/>
          <c:order val="1"/>
          <c:tx>
            <c:v>Efficiency</c:v>
          </c:tx>
          <c:spPr>
            <a:ln w="12700">
              <a:solidFill>
                <a:srgbClr val="00FFFF"/>
              </a:solidFill>
              <a:prstDash val="solid"/>
            </a:ln>
          </c:spPr>
          <c:marker>
            <c:symbol val="x"/>
            <c:size val="5"/>
            <c:spPr>
              <a:noFill/>
              <a:ln>
                <a:solidFill>
                  <a:srgbClr val="00FFFF"/>
                </a:solidFill>
                <a:prstDash val="solid"/>
              </a:ln>
            </c:spPr>
          </c:marker>
          <c:xVal>
            <c:numRef>
              <c:f>'Static LL'!$M$11:$M$22</c:f>
              <c:numCache>
                <c:formatCode>0</c:formatCode>
                <c:ptCount val="12"/>
                <c:pt idx="0">
                  <c:v>0</c:v>
                </c:pt>
                <c:pt idx="1">
                  <c:v>2</c:v>
                </c:pt>
                <c:pt idx="2">
                  <c:v>6</c:v>
                </c:pt>
                <c:pt idx="3">
                  <c:v>10</c:v>
                </c:pt>
                <c:pt idx="4">
                  <c:v>14</c:v>
                </c:pt>
                <c:pt idx="5">
                  <c:v>18</c:v>
                </c:pt>
                <c:pt idx="6">
                  <c:v>23</c:v>
                </c:pt>
                <c:pt idx="7">
                  <c:v>28</c:v>
                </c:pt>
                <c:pt idx="8">
                  <c:v>33</c:v>
                </c:pt>
                <c:pt idx="9">
                  <c:v>38</c:v>
                </c:pt>
                <c:pt idx="10">
                  <c:v>43</c:v>
                </c:pt>
                <c:pt idx="11">
                  <c:v>48</c:v>
                </c:pt>
              </c:numCache>
            </c:numRef>
          </c:xVal>
          <c:yVal>
            <c:numRef>
              <c:f>'Static LL'!$T$11:$T$22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extLst xmlns:c16r2="http://schemas.microsoft.com/office/drawing/2015/06/chart">
            <c:ext xmlns:c16="http://schemas.microsoft.com/office/drawing/2014/chart" uri="{C3380CC4-5D6E-409C-BE32-E72D297353CC}">
              <c16:uniqueId val="{00000006-DFC3-491B-B919-88CEBD6A216F}"/>
            </c:ext>
          </c:extLst>
        </c:ser>
        <c:axId val="96209152"/>
        <c:axId val="96215040"/>
      </c:scatterChart>
      <c:valAx>
        <c:axId val="96393088"/>
        <c:scaling>
          <c:orientation val="minMax"/>
        </c:scaling>
        <c:axPos val="b"/>
        <c:title>
          <c:tx>
            <c:rich>
              <a:bodyPr/>
              <a:lstStyle/>
              <a:p>
                <a:pPr>
                  <a:defRPr sz="1000" b="1" i="0" u="none" strike="noStrike" baseline="0">
                    <a:solidFill>
                      <a:srgbClr val="000000"/>
                    </a:solidFill>
                    <a:latin typeface="Arial"/>
                    <a:ea typeface="Arial"/>
                    <a:cs typeface="Arial"/>
                  </a:defRPr>
                </a:pPr>
                <a:r>
                  <a:rPr lang="en-US"/>
                  <a:t>Load Current (A)</a:t>
                </a:r>
              </a:p>
            </c:rich>
          </c:tx>
          <c:layout>
            <c:manualLayout>
              <c:xMode val="edge"/>
              <c:yMode val="edge"/>
              <c:x val="0.41055758888347932"/>
              <c:y val="0.94243147885202849"/>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207232"/>
        <c:crosses val="autoZero"/>
        <c:crossBetween val="midCat"/>
      </c:valAx>
      <c:valAx>
        <c:axId val="96207232"/>
        <c:scaling>
          <c:orientation val="minMax"/>
          <c:max val="0.92"/>
          <c:min val="0.78"/>
        </c:scaling>
        <c:axPos val="l"/>
        <c:title>
          <c:tx>
            <c:rich>
              <a:bodyPr/>
              <a:lstStyle/>
              <a:p>
                <a:pPr>
                  <a:defRPr sz="1000" b="1" i="0" u="none" strike="noStrike" baseline="0">
                    <a:solidFill>
                      <a:srgbClr val="000000"/>
                    </a:solidFill>
                    <a:latin typeface="Arial"/>
                    <a:ea typeface="Arial"/>
                    <a:cs typeface="Arial"/>
                  </a:defRPr>
                </a:pPr>
                <a:r>
                  <a:rPr lang="en-US"/>
                  <a:t>Output Voltage (V)</a:t>
                </a:r>
              </a:p>
            </c:rich>
          </c:tx>
          <c:layout>
            <c:manualLayout>
              <c:xMode val="edge"/>
              <c:yMode val="edge"/>
              <c:x val="7.3314529713636688E-3"/>
              <c:y val="0.33475517404586758"/>
            </c:manualLayout>
          </c:layout>
          <c:spPr>
            <a:noFill/>
            <a:ln w="25400">
              <a:noFill/>
            </a:ln>
          </c:spPr>
        </c:title>
        <c:numFmt formatCode="0.0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393088"/>
        <c:crosses val="autoZero"/>
        <c:crossBetween val="midCat"/>
      </c:valAx>
      <c:valAx>
        <c:axId val="96209152"/>
        <c:scaling>
          <c:orientation val="minMax"/>
        </c:scaling>
        <c:delete val="1"/>
        <c:axPos val="b"/>
        <c:numFmt formatCode="0" sourceLinked="1"/>
        <c:tickLblPos val="none"/>
        <c:crossAx val="96215040"/>
        <c:crosses val="autoZero"/>
        <c:crossBetween val="midCat"/>
      </c:valAx>
      <c:valAx>
        <c:axId val="96215040"/>
        <c:scaling>
          <c:orientation val="minMax"/>
        </c:scaling>
        <c:axPos val="r"/>
        <c:numFmt formatCode="0.0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209152"/>
        <c:crosses val="max"/>
        <c:crossBetween val="midCat"/>
      </c:valAx>
      <c:spPr>
        <a:solidFill>
          <a:srgbClr val="C0C0C0"/>
        </a:solidFill>
        <a:ln w="12700">
          <a:solidFill>
            <a:srgbClr val="808080"/>
          </a:solidFill>
          <a:prstDash val="solid"/>
        </a:ln>
      </c:spPr>
    </c:plotArea>
    <c:legend>
      <c:legendPos val="r"/>
      <c:layout>
        <c:manualLayout>
          <c:xMode val="edge"/>
          <c:yMode val="edge"/>
          <c:x val="0.10881823834757598"/>
          <c:y val="0.59455966263020221"/>
          <c:w val="0.13113006396588472"/>
          <c:h val="0.25245944666752684"/>
        </c:manualLayout>
      </c:layout>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zh-TW"/>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zh-TW"/>
    </a:p>
  </c:txPr>
  <c:printSettings>
    <c:headerFooter alignWithMargins="0">
      <c:oddHeader>&amp;A</c:oddHeader>
      <c:oddFooter>Page &amp;P</c:oddFooter>
    </c:headerFooter>
    <c:pageMargins b="1" l="0.75000000000000078" r="0.75000000000000078"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VID2 - Loadline Zoom View 2</a:t>
            </a:r>
          </a:p>
        </c:rich>
      </c:tx>
      <c:layout>
        <c:manualLayout>
          <c:xMode val="edge"/>
          <c:yMode val="edge"/>
          <c:x val="0.36680339503968223"/>
          <c:y val="6.0449031708874237E-2"/>
        </c:manualLayout>
      </c:layout>
      <c:overlay val="1"/>
    </c:title>
    <c:plotArea>
      <c:layout>
        <c:manualLayout>
          <c:layoutTarget val="inner"/>
          <c:xMode val="edge"/>
          <c:yMode val="edge"/>
          <c:x val="3.9567593317850973E-2"/>
          <c:y val="3.5638556838426282E-2"/>
          <c:w val="0.81667816392060943"/>
          <c:h val="0.90433628438932157"/>
        </c:manualLayout>
      </c:layout>
      <c:scatterChart>
        <c:scatterStyle val="smoothMarker"/>
        <c:ser>
          <c:idx val="1"/>
          <c:order val="0"/>
          <c:tx>
            <c:v>Upper limit</c:v>
          </c:tx>
          <c:spPr>
            <a:ln>
              <a:solidFill>
                <a:srgbClr val="C00000"/>
              </a:solidFill>
            </a:ln>
          </c:spPr>
          <c:marker>
            <c:symbol val="none"/>
          </c:marker>
          <c:xVal>
            <c:numRef>
              <c:f>'Static LL'!$M$48:$M$51</c:f>
              <c:numCache>
                <c:formatCode>0</c:formatCode>
                <c:ptCount val="4"/>
                <c:pt idx="0">
                  <c:v>#N/A</c:v>
                </c:pt>
                <c:pt idx="1">
                  <c:v>#N/A</c:v>
                </c:pt>
                <c:pt idx="2">
                  <c:v>#N/A</c:v>
                </c:pt>
                <c:pt idx="3">
                  <c:v>#N/A</c:v>
                </c:pt>
              </c:numCache>
            </c:numRef>
          </c:xVal>
          <c:yVal>
            <c:numRef>
              <c:f>'Static LL'!$B$48:$B$51</c:f>
              <c:numCache>
                <c:formatCode>General</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0-4C39-459D-97EB-419B76EEE1F0}"/>
            </c:ext>
          </c:extLst>
        </c:ser>
        <c:ser>
          <c:idx val="2"/>
          <c:order val="1"/>
          <c:tx>
            <c:v>Lower limit</c:v>
          </c:tx>
          <c:spPr>
            <a:ln>
              <a:solidFill>
                <a:srgbClr val="C00000"/>
              </a:solidFill>
            </a:ln>
          </c:spPr>
          <c:marker>
            <c:symbol val="none"/>
          </c:marker>
          <c:xVal>
            <c:numRef>
              <c:f>'Static LL'!$M$48:$M$51</c:f>
              <c:numCache>
                <c:formatCode>0</c:formatCode>
                <c:ptCount val="4"/>
                <c:pt idx="0">
                  <c:v>#N/A</c:v>
                </c:pt>
                <c:pt idx="1">
                  <c:v>#N/A</c:v>
                </c:pt>
                <c:pt idx="2">
                  <c:v>#N/A</c:v>
                </c:pt>
                <c:pt idx="3">
                  <c:v>#N/A</c:v>
                </c:pt>
              </c:numCache>
            </c:numRef>
          </c:xVal>
          <c:yVal>
            <c:numRef>
              <c:f>'Static LL'!$H$48:$H$51</c:f>
              <c:numCache>
                <c:formatCode>General</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1-4C39-459D-97EB-419B76EEE1F0}"/>
            </c:ext>
          </c:extLst>
        </c:ser>
        <c:ser>
          <c:idx val="0"/>
          <c:order val="2"/>
          <c:tx>
            <c:v>VID2 DC LL</c:v>
          </c:tx>
          <c:spPr>
            <a:ln>
              <a:solidFill>
                <a:srgbClr val="0070C0"/>
              </a:solidFill>
            </a:ln>
          </c:spPr>
          <c:marker>
            <c:symbol val="none"/>
          </c:marker>
          <c:xVal>
            <c:numRef>
              <c:f>'Static LL'!$M$48:$M$51</c:f>
              <c:numCache>
                <c:formatCode>0</c:formatCode>
                <c:ptCount val="4"/>
                <c:pt idx="0">
                  <c:v>#N/A</c:v>
                </c:pt>
                <c:pt idx="1">
                  <c:v>#N/A</c:v>
                </c:pt>
                <c:pt idx="2">
                  <c:v>#N/A</c:v>
                </c:pt>
                <c:pt idx="3">
                  <c:v>#N/A</c:v>
                </c:pt>
              </c:numCache>
            </c:numRef>
          </c:xVal>
          <c:yVal>
            <c:numRef>
              <c:f>'Static LL'!$N$48:$N$51</c:f>
              <c:numCache>
                <c:formatCode>0.0000_ </c:formatCode>
                <c:ptCount val="4"/>
              </c:numCache>
            </c:numRef>
          </c:yVal>
          <c:smooth val="1"/>
          <c:extLst xmlns:c16r2="http://schemas.microsoft.com/office/drawing/2015/06/chart">
            <c:ext xmlns:c16="http://schemas.microsoft.com/office/drawing/2014/chart" uri="{C3380CC4-5D6E-409C-BE32-E72D297353CC}">
              <c16:uniqueId val="{00000002-4C39-459D-97EB-419B76EEE1F0}"/>
            </c:ext>
          </c:extLst>
        </c:ser>
        <c:ser>
          <c:idx val="7"/>
          <c:order val="3"/>
          <c:tx>
            <c:v>DC LL + Ripple</c:v>
          </c:tx>
          <c:spPr>
            <a:ln w="22225">
              <a:solidFill>
                <a:schemeClr val="tx2">
                  <a:lumMod val="40000"/>
                  <a:lumOff val="60000"/>
                </a:schemeClr>
              </a:solidFill>
            </a:ln>
          </c:spPr>
          <c:marker>
            <c:symbol val="none"/>
          </c:marker>
          <c:xVal>
            <c:numRef>
              <c:f>'Static LL'!$M$48:$M$51</c:f>
              <c:numCache>
                <c:formatCode>0</c:formatCode>
                <c:ptCount val="4"/>
                <c:pt idx="0">
                  <c:v>#N/A</c:v>
                </c:pt>
                <c:pt idx="1">
                  <c:v>#N/A</c:v>
                </c:pt>
                <c:pt idx="2">
                  <c:v>#N/A</c:v>
                </c:pt>
                <c:pt idx="3">
                  <c:v>#N/A</c:v>
                </c:pt>
              </c:numCache>
            </c:numRef>
          </c:xVal>
          <c:yVal>
            <c:numRef>
              <c:f>'Static LL'!$F$48:$F$51</c:f>
              <c:numCache>
                <c:formatCode>0.0000</c:formatCode>
                <c:ptCount val="4"/>
                <c:pt idx="0">
                  <c:v>0</c:v>
                </c:pt>
                <c:pt idx="1">
                  <c:v>0</c:v>
                </c:pt>
                <c:pt idx="2">
                  <c:v>0</c:v>
                </c:pt>
                <c:pt idx="3">
                  <c:v>0</c:v>
                </c:pt>
              </c:numCache>
            </c:numRef>
          </c:yVal>
          <c:smooth val="1"/>
          <c:extLst xmlns:c16r2="http://schemas.microsoft.com/office/drawing/2015/06/chart">
            <c:ext xmlns:c16="http://schemas.microsoft.com/office/drawing/2014/chart" uri="{C3380CC4-5D6E-409C-BE32-E72D297353CC}">
              <c16:uniqueId val="{00000003-4C39-459D-97EB-419B76EEE1F0}"/>
            </c:ext>
          </c:extLst>
        </c:ser>
        <c:ser>
          <c:idx val="8"/>
          <c:order val="4"/>
          <c:tx>
            <c:v>DC LL - Ripple</c:v>
          </c:tx>
          <c:spPr>
            <a:ln w="22225">
              <a:solidFill>
                <a:schemeClr val="tx2">
                  <a:lumMod val="40000"/>
                  <a:lumOff val="60000"/>
                </a:schemeClr>
              </a:solidFill>
            </a:ln>
          </c:spPr>
          <c:marker>
            <c:symbol val="none"/>
          </c:marker>
          <c:xVal>
            <c:numRef>
              <c:f>'Static LL'!$M$48:$M$51</c:f>
              <c:numCache>
                <c:formatCode>0</c:formatCode>
                <c:ptCount val="4"/>
                <c:pt idx="0">
                  <c:v>#N/A</c:v>
                </c:pt>
                <c:pt idx="1">
                  <c:v>#N/A</c:v>
                </c:pt>
                <c:pt idx="2">
                  <c:v>#N/A</c:v>
                </c:pt>
                <c:pt idx="3">
                  <c:v>#N/A</c:v>
                </c:pt>
              </c:numCache>
            </c:numRef>
          </c:xVal>
          <c:yVal>
            <c:numRef>
              <c:f>'Static LL'!$G$48:$G$51</c:f>
              <c:numCache>
                <c:formatCode>0.0000</c:formatCode>
                <c:ptCount val="4"/>
                <c:pt idx="0">
                  <c:v>0</c:v>
                </c:pt>
                <c:pt idx="1">
                  <c:v>0</c:v>
                </c:pt>
                <c:pt idx="2">
                  <c:v>0</c:v>
                </c:pt>
                <c:pt idx="3">
                  <c:v>0</c:v>
                </c:pt>
              </c:numCache>
            </c:numRef>
          </c:yVal>
          <c:smooth val="1"/>
          <c:extLst xmlns:c16r2="http://schemas.microsoft.com/office/drawing/2015/06/chart">
            <c:ext xmlns:c16="http://schemas.microsoft.com/office/drawing/2014/chart" uri="{C3380CC4-5D6E-409C-BE32-E72D297353CC}">
              <c16:uniqueId val="{00000004-4C39-459D-97EB-419B76EEE1F0}"/>
            </c:ext>
          </c:extLst>
        </c:ser>
        <c:ser>
          <c:idx val="3"/>
          <c:order val="5"/>
          <c:tx>
            <c:v>Min LL Slope</c:v>
          </c:tx>
          <c:spPr>
            <a:ln>
              <a:solidFill>
                <a:srgbClr val="00B050"/>
              </a:solidFill>
              <a:prstDash val="sysDot"/>
            </a:ln>
          </c:spPr>
          <c:marker>
            <c:symbol val="none"/>
          </c:marker>
          <c:xVal>
            <c:numRef>
              <c:f>'Static LL'!$M$48:$M$51</c:f>
              <c:numCache>
                <c:formatCode>0</c:formatCode>
                <c:ptCount val="4"/>
                <c:pt idx="0">
                  <c:v>#N/A</c:v>
                </c:pt>
                <c:pt idx="1">
                  <c:v>#N/A</c:v>
                </c:pt>
                <c:pt idx="2">
                  <c:v>#N/A</c:v>
                </c:pt>
                <c:pt idx="3">
                  <c:v>#N/A</c:v>
                </c:pt>
              </c:numCache>
            </c:numRef>
          </c:xVal>
          <c:yVal>
            <c:numRef>
              <c:f>'Static LL'!$C$48:$C$51</c:f>
              <c:numCache>
                <c:formatCode>0.0000_ </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5-4C39-459D-97EB-419B76EEE1F0}"/>
            </c:ext>
          </c:extLst>
        </c:ser>
        <c:ser>
          <c:idx val="4"/>
          <c:order val="6"/>
          <c:tx>
            <c:v>Max LL Slope</c:v>
          </c:tx>
          <c:spPr>
            <a:ln>
              <a:solidFill>
                <a:srgbClr val="00B050"/>
              </a:solidFill>
              <a:prstDash val="sysDot"/>
            </a:ln>
          </c:spPr>
          <c:marker>
            <c:symbol val="none"/>
          </c:marker>
          <c:xVal>
            <c:numRef>
              <c:f>'Static LL'!$M$48:$M$51</c:f>
              <c:numCache>
                <c:formatCode>0</c:formatCode>
                <c:ptCount val="4"/>
                <c:pt idx="0">
                  <c:v>#N/A</c:v>
                </c:pt>
                <c:pt idx="1">
                  <c:v>#N/A</c:v>
                </c:pt>
                <c:pt idx="2">
                  <c:v>#N/A</c:v>
                </c:pt>
                <c:pt idx="3">
                  <c:v>#N/A</c:v>
                </c:pt>
              </c:numCache>
            </c:numRef>
          </c:xVal>
          <c:yVal>
            <c:numRef>
              <c:f>'Static LL'!$D$48:$D$51</c:f>
              <c:numCache>
                <c:formatCode>0.0000_ </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6-4C39-459D-97EB-419B76EEE1F0}"/>
            </c:ext>
          </c:extLst>
        </c:ser>
        <c:ser>
          <c:idx val="6"/>
          <c:order val="7"/>
          <c:tx>
            <c:v>Projected AC LL</c:v>
          </c:tx>
          <c:spPr>
            <a:ln w="25400">
              <a:solidFill>
                <a:srgbClr val="FFC000"/>
              </a:solidFill>
              <a:prstDash val="dashDot"/>
            </a:ln>
          </c:spPr>
          <c:marker>
            <c:symbol val="none"/>
          </c:marker>
          <c:xVal>
            <c:numRef>
              <c:f>'Static LL'!$M$48:$M$51</c:f>
              <c:numCache>
                <c:formatCode>0</c:formatCode>
                <c:ptCount val="4"/>
                <c:pt idx="0">
                  <c:v>#N/A</c:v>
                </c:pt>
                <c:pt idx="1">
                  <c:v>#N/A</c:v>
                </c:pt>
                <c:pt idx="2">
                  <c:v>#N/A</c:v>
                </c:pt>
                <c:pt idx="3">
                  <c:v>#N/A</c:v>
                </c:pt>
              </c:numCache>
            </c:numRef>
          </c:xVal>
          <c:yVal>
            <c:numRef>
              <c:f>'Static LL'!$A$48:$A$51</c:f>
              <c:numCache>
                <c:formatCode>General</c:formatCode>
                <c:ptCount val="4"/>
                <c:pt idx="0">
                  <c:v>#N/A</c:v>
                </c:pt>
                <c:pt idx="1">
                  <c:v>#N/A</c:v>
                </c:pt>
                <c:pt idx="2">
                  <c:v>#N/A</c:v>
                </c:pt>
                <c:pt idx="3">
                  <c:v>#N/A</c:v>
                </c:pt>
              </c:numCache>
            </c:numRef>
          </c:yVal>
          <c:smooth val="1"/>
          <c:extLst xmlns:c16r2="http://schemas.microsoft.com/office/drawing/2015/06/chart">
            <c:ext xmlns:c16="http://schemas.microsoft.com/office/drawing/2014/chart" uri="{C3380CC4-5D6E-409C-BE32-E72D297353CC}">
              <c16:uniqueId val="{00000007-4C39-459D-97EB-419B76EEE1F0}"/>
            </c:ext>
          </c:extLst>
        </c:ser>
        <c:ser>
          <c:idx val="5"/>
          <c:order val="8"/>
          <c:tx>
            <c:v>Large Step Transient response</c:v>
          </c:tx>
          <c:spPr>
            <a:ln>
              <a:noFill/>
            </a:ln>
          </c:spPr>
          <c:marker>
            <c:symbol val="circle"/>
            <c:size val="5"/>
            <c:spPr>
              <a:solidFill>
                <a:srgbClr val="FFC000"/>
              </a:solidFill>
              <a:ln>
                <a:solidFill>
                  <a:srgbClr val="FF0000"/>
                </a:solidFill>
              </a:ln>
            </c:spPr>
          </c:marker>
          <c:xVal>
            <c:numRef>
              <c:f>'VID2 - PS1 Validation Plots'!$A$14</c:f>
              <c:numCache>
                <c:formatCode>General</c:formatCode>
                <c:ptCount val="1"/>
                <c:pt idx="0">
                  <c:v>10</c:v>
                </c:pt>
              </c:numCache>
            </c:numRef>
          </c:xVal>
          <c:yVal>
            <c:numRef>
              <c:f>'VID2 - PS1 Validation Plots'!$B$14</c:f>
              <c:numCache>
                <c:formatCode>General</c:formatCode>
                <c:ptCount val="1"/>
                <c:pt idx="0">
                  <c:v>0</c:v>
                </c:pt>
              </c:numCache>
            </c:numRef>
          </c:yVal>
          <c:smooth val="1"/>
          <c:extLst xmlns:c16r2="http://schemas.microsoft.com/office/drawing/2015/06/chart">
            <c:ext xmlns:c16="http://schemas.microsoft.com/office/drawing/2014/chart" uri="{C3380CC4-5D6E-409C-BE32-E72D297353CC}">
              <c16:uniqueId val="{00000008-4C39-459D-97EB-419B76EEE1F0}"/>
            </c:ext>
          </c:extLst>
        </c:ser>
        <c:axId val="101922688"/>
        <c:axId val="101929344"/>
      </c:scatterChart>
      <c:valAx>
        <c:axId val="101922688"/>
        <c:scaling>
          <c:orientation val="minMax"/>
          <c:min val="13"/>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929344"/>
        <c:crosses val="autoZero"/>
        <c:crossBetween val="midCat"/>
      </c:valAx>
      <c:valAx>
        <c:axId val="101929344"/>
        <c:scaling>
          <c:orientation val="minMax"/>
          <c:min val="1.6"/>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1922688"/>
        <c:crosses val="autoZero"/>
        <c:crossBetween val="midCat"/>
      </c:valAx>
    </c:plotArea>
    <c:legend>
      <c:legendPos val="r"/>
      <c:layout>
        <c:manualLayout>
          <c:xMode val="edge"/>
          <c:yMode val="edge"/>
          <c:x val="0.84508043438045533"/>
          <c:y val="1.6016016016016019E-2"/>
          <c:w val="0.14515003489183551"/>
          <c:h val="0.35935962208928124"/>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89" l="0.70000000000000062" r="0.70000000000000062" t="0.7500000000000018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VID2 in PS2 - Complete Loadline</a:t>
            </a:r>
          </a:p>
        </c:rich>
      </c:tx>
      <c:layout>
        <c:manualLayout>
          <c:xMode val="edge"/>
          <c:yMode val="edge"/>
          <c:x val="0.36680332458442727"/>
          <c:y val="6.0449031708874237E-2"/>
        </c:manualLayout>
      </c:layout>
      <c:overlay val="1"/>
    </c:title>
    <c:plotArea>
      <c:layout>
        <c:manualLayout>
          <c:layoutTarget val="inner"/>
          <c:xMode val="edge"/>
          <c:yMode val="edge"/>
          <c:x val="3.9567593317850973E-2"/>
          <c:y val="3.5638556838426282E-2"/>
          <c:w val="0.79224535414748565"/>
          <c:h val="0.90433628438932157"/>
        </c:manualLayout>
      </c:layout>
      <c:scatterChart>
        <c:scatterStyle val="smoothMarker"/>
        <c:ser>
          <c:idx val="1"/>
          <c:order val="0"/>
          <c:tx>
            <c:v>Upper limit</c:v>
          </c:tx>
          <c:spPr>
            <a:ln>
              <a:solidFill>
                <a:srgbClr val="C00000"/>
              </a:solidFill>
            </a:ln>
          </c:spPr>
          <c:marker>
            <c:symbol val="none"/>
          </c:marker>
          <c:xVal>
            <c:numRef>
              <c:f>'Static LL'!$M$70:$M$74</c:f>
              <c:numCache>
                <c:formatCode>0</c:formatCode>
                <c:ptCount val="5"/>
                <c:pt idx="0">
                  <c:v>0</c:v>
                </c:pt>
                <c:pt idx="1">
                  <c:v>2</c:v>
                </c:pt>
                <c:pt idx="2">
                  <c:v>3</c:v>
                </c:pt>
                <c:pt idx="3">
                  <c:v>4</c:v>
                </c:pt>
                <c:pt idx="4">
                  <c:v>5</c:v>
                </c:pt>
              </c:numCache>
            </c:numRef>
          </c:xVal>
          <c:yVal>
            <c:numRef>
              <c:f>'Static LL'!$B$70:$B$75</c:f>
              <c:numCache>
                <c:formatCode>General</c:formatCode>
                <c:ptCount val="6"/>
                <c:pt idx="0">
                  <c:v>0.65</c:v>
                </c:pt>
                <c:pt idx="1">
                  <c:v>0.64639999999999997</c:v>
                </c:pt>
                <c:pt idx="2">
                  <c:v>0.64460000000000006</c:v>
                </c:pt>
                <c:pt idx="3">
                  <c:v>0.64280000000000004</c:v>
                </c:pt>
                <c:pt idx="4">
                  <c:v>0.64100000000000001</c:v>
                </c:pt>
              </c:numCache>
            </c:numRef>
          </c:yVal>
          <c:smooth val="1"/>
          <c:extLst xmlns:c16r2="http://schemas.microsoft.com/office/drawing/2015/06/chart">
            <c:ext xmlns:c16="http://schemas.microsoft.com/office/drawing/2014/chart" uri="{C3380CC4-5D6E-409C-BE32-E72D297353CC}">
              <c16:uniqueId val="{00000000-0B62-434C-ACB7-279533BDA72C}"/>
            </c:ext>
          </c:extLst>
        </c:ser>
        <c:ser>
          <c:idx val="2"/>
          <c:order val="1"/>
          <c:tx>
            <c:v>Lower limit</c:v>
          </c:tx>
          <c:spPr>
            <a:ln>
              <a:solidFill>
                <a:srgbClr val="C00000"/>
              </a:solidFill>
            </a:ln>
          </c:spPr>
          <c:marker>
            <c:symbol val="none"/>
          </c:marker>
          <c:xVal>
            <c:numRef>
              <c:f>'Static LL'!$M$70:$M$74</c:f>
              <c:numCache>
                <c:formatCode>0</c:formatCode>
                <c:ptCount val="5"/>
                <c:pt idx="0">
                  <c:v>0</c:v>
                </c:pt>
                <c:pt idx="1">
                  <c:v>2</c:v>
                </c:pt>
                <c:pt idx="2">
                  <c:v>3</c:v>
                </c:pt>
                <c:pt idx="3">
                  <c:v>4</c:v>
                </c:pt>
                <c:pt idx="4">
                  <c:v>5</c:v>
                </c:pt>
              </c:numCache>
            </c:numRef>
          </c:xVal>
          <c:yVal>
            <c:numRef>
              <c:f>'Static LL'!$H$70:$H$75</c:f>
              <c:numCache>
                <c:formatCode>General</c:formatCode>
                <c:ptCount val="6"/>
                <c:pt idx="0">
                  <c:v>0.56999999999999995</c:v>
                </c:pt>
                <c:pt idx="1">
                  <c:v>0.5663999999999999</c:v>
                </c:pt>
                <c:pt idx="2">
                  <c:v>0.56459999999999999</c:v>
                </c:pt>
                <c:pt idx="3">
                  <c:v>0.56279999999999997</c:v>
                </c:pt>
                <c:pt idx="4">
                  <c:v>0.56099999999999994</c:v>
                </c:pt>
              </c:numCache>
            </c:numRef>
          </c:yVal>
          <c:smooth val="1"/>
          <c:extLst xmlns:c16r2="http://schemas.microsoft.com/office/drawing/2015/06/chart">
            <c:ext xmlns:c16="http://schemas.microsoft.com/office/drawing/2014/chart" uri="{C3380CC4-5D6E-409C-BE32-E72D297353CC}">
              <c16:uniqueId val="{00000001-0B62-434C-ACB7-279533BDA72C}"/>
            </c:ext>
          </c:extLst>
        </c:ser>
        <c:ser>
          <c:idx val="0"/>
          <c:order val="2"/>
          <c:tx>
            <c:v>VID2 DC LL</c:v>
          </c:tx>
          <c:spPr>
            <a:ln>
              <a:solidFill>
                <a:srgbClr val="0070C0"/>
              </a:solidFill>
            </a:ln>
          </c:spPr>
          <c:marker>
            <c:symbol val="none"/>
          </c:marker>
          <c:xVal>
            <c:numRef>
              <c:f>'Static LL'!$M$70:$M$74</c:f>
              <c:numCache>
                <c:formatCode>0</c:formatCode>
                <c:ptCount val="5"/>
                <c:pt idx="0">
                  <c:v>0</c:v>
                </c:pt>
                <c:pt idx="1">
                  <c:v>2</c:v>
                </c:pt>
                <c:pt idx="2">
                  <c:v>3</c:v>
                </c:pt>
                <c:pt idx="3">
                  <c:v>4</c:v>
                </c:pt>
                <c:pt idx="4">
                  <c:v>5</c:v>
                </c:pt>
              </c:numCache>
            </c:numRef>
          </c:xVal>
          <c:yVal>
            <c:numRef>
              <c:f>'Static LL'!$N$70:$N$74</c:f>
              <c:numCache>
                <c:formatCode>0.0000_ </c:formatCode>
                <c:ptCount val="5"/>
                <c:pt idx="0">
                  <c:v>0.60109999999999997</c:v>
                </c:pt>
                <c:pt idx="1">
                  <c:v>0.59850000000000003</c:v>
                </c:pt>
                <c:pt idx="2">
                  <c:v>0.59660000000000002</c:v>
                </c:pt>
                <c:pt idx="3">
                  <c:v>0.59470000000000001</c:v>
                </c:pt>
                <c:pt idx="4">
                  <c:v>0.59299999999999997</c:v>
                </c:pt>
              </c:numCache>
            </c:numRef>
          </c:yVal>
          <c:smooth val="1"/>
          <c:extLst xmlns:c16r2="http://schemas.microsoft.com/office/drawing/2015/06/chart">
            <c:ext xmlns:c16="http://schemas.microsoft.com/office/drawing/2014/chart" uri="{C3380CC4-5D6E-409C-BE32-E72D297353CC}">
              <c16:uniqueId val="{00000002-0B62-434C-ACB7-279533BDA72C}"/>
            </c:ext>
          </c:extLst>
        </c:ser>
        <c:ser>
          <c:idx val="7"/>
          <c:order val="3"/>
          <c:tx>
            <c:v>DC LL + Ripple</c:v>
          </c:tx>
          <c:spPr>
            <a:ln w="22225">
              <a:solidFill>
                <a:schemeClr val="tx2">
                  <a:lumMod val="40000"/>
                  <a:lumOff val="60000"/>
                </a:schemeClr>
              </a:solidFill>
            </a:ln>
          </c:spPr>
          <c:marker>
            <c:symbol val="none"/>
          </c:marker>
          <c:xVal>
            <c:numRef>
              <c:f>'Static LL'!$M$70:$M$74</c:f>
              <c:numCache>
                <c:formatCode>0</c:formatCode>
                <c:ptCount val="5"/>
                <c:pt idx="0">
                  <c:v>0</c:v>
                </c:pt>
                <c:pt idx="1">
                  <c:v>2</c:v>
                </c:pt>
                <c:pt idx="2">
                  <c:v>3</c:v>
                </c:pt>
                <c:pt idx="3">
                  <c:v>4</c:v>
                </c:pt>
                <c:pt idx="4">
                  <c:v>5</c:v>
                </c:pt>
              </c:numCache>
            </c:numRef>
          </c:xVal>
          <c:yVal>
            <c:numRef>
              <c:f>'Static LL'!$F$70:$F$75</c:f>
              <c:numCache>
                <c:formatCode>0.0000</c:formatCode>
                <c:ptCount val="6"/>
                <c:pt idx="0">
                  <c:v>0.60749999999999993</c:v>
                </c:pt>
                <c:pt idx="1">
                  <c:v>0.60630000000000006</c:v>
                </c:pt>
                <c:pt idx="2">
                  <c:v>0.60399999999999998</c:v>
                </c:pt>
                <c:pt idx="3">
                  <c:v>0.60230000000000006</c:v>
                </c:pt>
                <c:pt idx="4">
                  <c:v>0.6008</c:v>
                </c:pt>
              </c:numCache>
            </c:numRef>
          </c:yVal>
          <c:smooth val="1"/>
          <c:extLst xmlns:c16r2="http://schemas.microsoft.com/office/drawing/2015/06/chart">
            <c:ext xmlns:c16="http://schemas.microsoft.com/office/drawing/2014/chart" uri="{C3380CC4-5D6E-409C-BE32-E72D297353CC}">
              <c16:uniqueId val="{00000003-0B62-434C-ACB7-279533BDA72C}"/>
            </c:ext>
          </c:extLst>
        </c:ser>
        <c:ser>
          <c:idx val="8"/>
          <c:order val="4"/>
          <c:tx>
            <c:v>DC LL - Ripple</c:v>
          </c:tx>
          <c:spPr>
            <a:ln w="22225">
              <a:solidFill>
                <a:schemeClr val="tx2">
                  <a:lumMod val="40000"/>
                  <a:lumOff val="60000"/>
                </a:schemeClr>
              </a:solidFill>
            </a:ln>
          </c:spPr>
          <c:marker>
            <c:symbol val="none"/>
          </c:marker>
          <c:xVal>
            <c:numRef>
              <c:f>'Static LL'!$M$70:$M$74</c:f>
              <c:numCache>
                <c:formatCode>0</c:formatCode>
                <c:ptCount val="5"/>
                <c:pt idx="0">
                  <c:v>0</c:v>
                </c:pt>
                <c:pt idx="1">
                  <c:v>2</c:v>
                </c:pt>
                <c:pt idx="2">
                  <c:v>3</c:v>
                </c:pt>
                <c:pt idx="3">
                  <c:v>4</c:v>
                </c:pt>
                <c:pt idx="4">
                  <c:v>5</c:v>
                </c:pt>
              </c:numCache>
            </c:numRef>
          </c:xVal>
          <c:yVal>
            <c:numRef>
              <c:f>'Static LL'!$G$70:$G$75</c:f>
              <c:numCache>
                <c:formatCode>0.0000</c:formatCode>
                <c:ptCount val="6"/>
                <c:pt idx="0">
                  <c:v>0.59470000000000001</c:v>
                </c:pt>
                <c:pt idx="1">
                  <c:v>0.5907</c:v>
                </c:pt>
                <c:pt idx="2">
                  <c:v>0.58920000000000006</c:v>
                </c:pt>
                <c:pt idx="3">
                  <c:v>0.58709999999999996</c:v>
                </c:pt>
                <c:pt idx="4">
                  <c:v>0.58519999999999994</c:v>
                </c:pt>
              </c:numCache>
            </c:numRef>
          </c:yVal>
          <c:smooth val="1"/>
          <c:extLst xmlns:c16r2="http://schemas.microsoft.com/office/drawing/2015/06/chart">
            <c:ext xmlns:c16="http://schemas.microsoft.com/office/drawing/2014/chart" uri="{C3380CC4-5D6E-409C-BE32-E72D297353CC}">
              <c16:uniqueId val="{00000004-0B62-434C-ACB7-279533BDA72C}"/>
            </c:ext>
          </c:extLst>
        </c:ser>
        <c:ser>
          <c:idx val="3"/>
          <c:order val="5"/>
          <c:tx>
            <c:v>Min LL Slope</c:v>
          </c:tx>
          <c:spPr>
            <a:ln>
              <a:solidFill>
                <a:srgbClr val="00B050"/>
              </a:solidFill>
              <a:prstDash val="sysDot"/>
            </a:ln>
          </c:spPr>
          <c:marker>
            <c:symbol val="none"/>
          </c:marker>
          <c:xVal>
            <c:numRef>
              <c:f>'Static LL'!$M$70:$M$74</c:f>
              <c:numCache>
                <c:formatCode>0</c:formatCode>
                <c:ptCount val="5"/>
                <c:pt idx="0">
                  <c:v>0</c:v>
                </c:pt>
                <c:pt idx="1">
                  <c:v>2</c:v>
                </c:pt>
                <c:pt idx="2">
                  <c:v>3</c:v>
                </c:pt>
                <c:pt idx="3">
                  <c:v>4</c:v>
                </c:pt>
                <c:pt idx="4">
                  <c:v>5</c:v>
                </c:pt>
              </c:numCache>
            </c:numRef>
          </c:xVal>
          <c:yVal>
            <c:numRef>
              <c:f>'Static LL'!$C$70:$C$75</c:f>
              <c:numCache>
                <c:formatCode>0.0000_ </c:formatCode>
                <c:ptCount val="6"/>
                <c:pt idx="0" formatCode="0.0000">
                  <c:v>0.60109999999999997</c:v>
                </c:pt>
                <c:pt idx="1">
                  <c:v>0.60750000000000004</c:v>
                </c:pt>
                <c:pt idx="2">
                  <c:v>0.61070000000000002</c:v>
                </c:pt>
                <c:pt idx="3">
                  <c:v>0.6139</c:v>
                </c:pt>
                <c:pt idx="4">
                  <c:v>0.61710000000000009</c:v>
                </c:pt>
              </c:numCache>
            </c:numRef>
          </c:yVal>
          <c:smooth val="1"/>
          <c:extLst xmlns:c16r2="http://schemas.microsoft.com/office/drawing/2015/06/chart">
            <c:ext xmlns:c16="http://schemas.microsoft.com/office/drawing/2014/chart" uri="{C3380CC4-5D6E-409C-BE32-E72D297353CC}">
              <c16:uniqueId val="{00000005-0B62-434C-ACB7-279533BDA72C}"/>
            </c:ext>
          </c:extLst>
        </c:ser>
        <c:ser>
          <c:idx val="4"/>
          <c:order val="6"/>
          <c:tx>
            <c:v>Max LL Slope</c:v>
          </c:tx>
          <c:spPr>
            <a:ln>
              <a:solidFill>
                <a:srgbClr val="00B050"/>
              </a:solidFill>
              <a:prstDash val="sysDot"/>
            </a:ln>
          </c:spPr>
          <c:marker>
            <c:symbol val="none"/>
          </c:marker>
          <c:xVal>
            <c:numRef>
              <c:f>'Static LL'!$M$70:$M$74</c:f>
              <c:numCache>
                <c:formatCode>0</c:formatCode>
                <c:ptCount val="5"/>
                <c:pt idx="0">
                  <c:v>0</c:v>
                </c:pt>
                <c:pt idx="1">
                  <c:v>2</c:v>
                </c:pt>
                <c:pt idx="2">
                  <c:v>3</c:v>
                </c:pt>
                <c:pt idx="3">
                  <c:v>4</c:v>
                </c:pt>
                <c:pt idx="4">
                  <c:v>5</c:v>
                </c:pt>
              </c:numCache>
            </c:numRef>
          </c:xVal>
          <c:yVal>
            <c:numRef>
              <c:f>'Static LL'!$D$70:$D$75</c:f>
              <c:numCache>
                <c:formatCode>0.0000_ </c:formatCode>
                <c:ptCount val="6"/>
                <c:pt idx="0" formatCode="0.0000">
                  <c:v>0.60109999999999997</c:v>
                </c:pt>
                <c:pt idx="1">
                  <c:v>0.58750000000000002</c:v>
                </c:pt>
                <c:pt idx="2">
                  <c:v>0.58069999999999999</c:v>
                </c:pt>
                <c:pt idx="3">
                  <c:v>0.57389999999999997</c:v>
                </c:pt>
                <c:pt idx="4">
                  <c:v>0.56710000000000005</c:v>
                </c:pt>
              </c:numCache>
            </c:numRef>
          </c:yVal>
          <c:smooth val="1"/>
          <c:extLst xmlns:c16r2="http://schemas.microsoft.com/office/drawing/2015/06/chart">
            <c:ext xmlns:c16="http://schemas.microsoft.com/office/drawing/2014/chart" uri="{C3380CC4-5D6E-409C-BE32-E72D297353CC}">
              <c16:uniqueId val="{00000006-0B62-434C-ACB7-279533BDA72C}"/>
            </c:ext>
          </c:extLst>
        </c:ser>
        <c:axId val="102079104"/>
        <c:axId val="102089856"/>
      </c:scatterChart>
      <c:scatterChart>
        <c:scatterStyle val="lineMarker"/>
        <c:ser>
          <c:idx val="9"/>
          <c:order val="7"/>
          <c:tx>
            <c:v>Min V @ 0A</c:v>
          </c:tx>
          <c:spPr>
            <a:ln w="28575">
              <a:noFill/>
            </a:ln>
          </c:spPr>
          <c:marker>
            <c:symbol val="dash"/>
            <c:size val="10"/>
            <c:spPr>
              <a:solidFill>
                <a:srgbClr val="FF0000"/>
              </a:solidFill>
              <a:ln>
                <a:noFill/>
              </a:ln>
            </c:spPr>
          </c:marker>
          <c:xVal>
            <c:numRef>
              <c:f>'Static LL'!$M$70</c:f>
              <c:numCache>
                <c:formatCode>0</c:formatCode>
                <c:ptCount val="1"/>
                <c:pt idx="0">
                  <c:v>0</c:v>
                </c:pt>
              </c:numCache>
            </c:numRef>
          </c:xVal>
          <c:yVal>
            <c:numRef>
              <c:f>'Static LL'!$AQ$70</c:f>
              <c:numCache>
                <c:formatCode>General</c:formatCode>
                <c:ptCount val="1"/>
                <c:pt idx="0">
                  <c:v>0.59499999999999997</c:v>
                </c:pt>
              </c:numCache>
            </c:numRef>
          </c:yVal>
          <c:extLst xmlns:c16r2="http://schemas.microsoft.com/office/drawing/2015/06/chart">
            <c:ext xmlns:c16="http://schemas.microsoft.com/office/drawing/2014/chart" uri="{C3380CC4-5D6E-409C-BE32-E72D297353CC}">
              <c16:uniqueId val="{00000007-0B62-434C-ACB7-279533BDA72C}"/>
            </c:ext>
          </c:extLst>
        </c:ser>
        <c:ser>
          <c:idx val="10"/>
          <c:order val="8"/>
          <c:tx>
            <c:v>Max V @ 0A</c:v>
          </c:tx>
          <c:spPr>
            <a:ln w="28575">
              <a:noFill/>
            </a:ln>
          </c:spPr>
          <c:marker>
            <c:symbol val="dash"/>
            <c:size val="10"/>
            <c:spPr>
              <a:solidFill>
                <a:srgbClr val="FF0000"/>
              </a:solidFill>
              <a:ln>
                <a:noFill/>
              </a:ln>
            </c:spPr>
          </c:marker>
          <c:xVal>
            <c:numRef>
              <c:f>'Static LL'!$M$70</c:f>
              <c:numCache>
                <c:formatCode>0</c:formatCode>
                <c:ptCount val="1"/>
                <c:pt idx="0">
                  <c:v>0</c:v>
                </c:pt>
              </c:numCache>
            </c:numRef>
          </c:xVal>
          <c:yVal>
            <c:numRef>
              <c:f>'Static LL'!$AQ$71</c:f>
              <c:numCache>
                <c:formatCode>General</c:formatCode>
                <c:ptCount val="1"/>
                <c:pt idx="0">
                  <c:v>0.61499999999999999</c:v>
                </c:pt>
              </c:numCache>
            </c:numRef>
          </c:yVal>
          <c:extLst xmlns:c16r2="http://schemas.microsoft.com/office/drawing/2015/06/chart">
            <c:ext xmlns:c16="http://schemas.microsoft.com/office/drawing/2014/chart" uri="{C3380CC4-5D6E-409C-BE32-E72D297353CC}">
              <c16:uniqueId val="{00000008-0B62-434C-ACB7-279533BDA72C}"/>
            </c:ext>
          </c:extLst>
        </c:ser>
        <c:axId val="102079104"/>
        <c:axId val="102089856"/>
      </c:scatterChart>
      <c:valAx>
        <c:axId val="102079104"/>
        <c:scaling>
          <c:orientation val="minMax"/>
        </c:scaling>
        <c:axPos val="b"/>
        <c:title>
          <c:tx>
            <c:rich>
              <a:bodyPr/>
              <a:lstStyle/>
              <a:p>
                <a:pPr>
                  <a:defRPr sz="1000" b="1" i="0" u="none" strike="noStrike" baseline="0">
                    <a:solidFill>
                      <a:srgbClr val="000000"/>
                    </a:solidFill>
                    <a:latin typeface="Calibri"/>
                    <a:ea typeface="Calibri"/>
                    <a:cs typeface="Calibri"/>
                  </a:defRPr>
                </a:pPr>
                <a:r>
                  <a:rPr lang="en-US"/>
                  <a:t>Amps</a:t>
                </a:r>
              </a:p>
            </c:rich>
          </c:tx>
        </c:title>
        <c:numFmt formatCode="0#\A"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2089856"/>
        <c:crosses val="autoZero"/>
        <c:crossBetween val="midCat"/>
      </c:valAx>
      <c:valAx>
        <c:axId val="102089856"/>
        <c:scaling>
          <c:orientation val="minMax"/>
          <c:min val="1.6500000000000001"/>
        </c:scaling>
        <c:axPos val="l"/>
        <c:majorGridlines/>
        <c:title>
          <c:tx>
            <c:rich>
              <a:bodyPr/>
              <a:lstStyle/>
              <a:p>
                <a:pPr>
                  <a:defRPr sz="1000" b="1" i="0" u="none" strike="noStrike" baseline="0">
                    <a:solidFill>
                      <a:srgbClr val="000000"/>
                    </a:solidFill>
                    <a:latin typeface="Calibri"/>
                    <a:ea typeface="Calibri"/>
                    <a:cs typeface="Calibri"/>
                  </a:defRPr>
                </a:pPr>
                <a:r>
                  <a:rPr lang="en-US"/>
                  <a:t>Voltage</a:t>
                </a:r>
              </a:p>
            </c:rich>
          </c:tx>
        </c:title>
        <c:numFmt formatCode="#.###\V" sourceLinked="0"/>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2079104"/>
        <c:crosses val="autoZero"/>
        <c:crossBetween val="midCat"/>
      </c:valAx>
    </c:plotArea>
    <c:legend>
      <c:legendPos val="r"/>
      <c:layout>
        <c:manualLayout>
          <c:xMode val="edge"/>
          <c:yMode val="edge"/>
          <c:x val="0.82066684164479464"/>
          <c:y val="3.2032032032032032E-2"/>
          <c:w val="0.17533333333333354"/>
          <c:h val="0.33133159406125318"/>
        </c:manualLayout>
      </c:layout>
      <c:txPr>
        <a:bodyPr/>
        <a:lstStyle/>
        <a:p>
          <a:pPr>
            <a:defRPr sz="7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144" l="0.70000000000000062" r="0.70000000000000062" t="0.7500000000000014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PS1 IMON Actual and Corrected Data</a:t>
            </a:r>
          </a:p>
        </c:rich>
      </c:tx>
      <c:overlay val="1"/>
    </c:title>
    <c:plotArea>
      <c:layout>
        <c:manualLayout>
          <c:layoutTarget val="inner"/>
          <c:xMode val="edge"/>
          <c:yMode val="edge"/>
          <c:x val="5.6158465999610309E-2"/>
          <c:y val="6.8692558357741532E-2"/>
          <c:w val="0.92103187429082345"/>
          <c:h val="0.88386108258206852"/>
        </c:manualLayout>
      </c:layout>
      <c:scatterChart>
        <c:scatterStyle val="smoothMarker"/>
        <c:ser>
          <c:idx val="3"/>
          <c:order val="0"/>
          <c:tx>
            <c:strRef>
              <c:f>'IOUT Calcs'!$R$42</c:f>
              <c:strCache>
                <c:ptCount val="1"/>
                <c:pt idx="0">
                  <c:v>- Limit</c:v>
                </c:pt>
              </c:strCache>
            </c:strRef>
          </c:tx>
          <c:spPr>
            <a:ln>
              <a:solidFill>
                <a:srgbClr val="00B050"/>
              </a:solidFill>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Calcs'!$R$43:$R$53</c:f>
              <c:numCache>
                <c:formatCode>0.00</c:formatCode>
                <c:ptCount val="11"/>
                <c:pt idx="0">
                  <c:v>0</c:v>
                </c:pt>
                <c:pt idx="1">
                  <c:v>3</c:v>
                </c:pt>
                <c:pt idx="2">
                  <c:v>8.3000000000000007</c:v>
                </c:pt>
                <c:pt idx="3">
                  <c:v>#N/A</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0-EAC7-4CEF-B97D-F67A2C5B81D7}"/>
            </c:ext>
          </c:extLst>
        </c:ser>
        <c:ser>
          <c:idx val="4"/>
          <c:order val="1"/>
          <c:tx>
            <c:strRef>
              <c:f>'IOUT Calcs'!$S$42</c:f>
              <c:strCache>
                <c:ptCount val="1"/>
                <c:pt idx="0">
                  <c:v>+ Limit</c:v>
                </c:pt>
              </c:strCache>
            </c:strRef>
          </c:tx>
          <c:spPr>
            <a:ln>
              <a:solidFill>
                <a:srgbClr val="00B050"/>
              </a:solidFill>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Calcs'!$S$43:$S$53</c:f>
              <c:numCache>
                <c:formatCode>0.00</c:formatCode>
                <c:ptCount val="11"/>
                <c:pt idx="0">
                  <c:v>4</c:v>
                </c:pt>
                <c:pt idx="1">
                  <c:v>9</c:v>
                </c:pt>
                <c:pt idx="2">
                  <c:v>11.7</c:v>
                </c:pt>
                <c:pt idx="3">
                  <c:v>#N/A</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1-EAC7-4CEF-B97D-F67A2C5B81D7}"/>
            </c:ext>
          </c:extLst>
        </c:ser>
        <c:ser>
          <c:idx val="0"/>
          <c:order val="2"/>
          <c:tx>
            <c:v>Measured IMON</c:v>
          </c:tx>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Calcs'!$I$43:$I$53</c:f>
              <c:numCache>
                <c:formatCode>0.0</c:formatCode>
                <c:ptCount val="11"/>
                <c:pt idx="0">
                  <c:v>2.1960784313725492</c:v>
                </c:pt>
                <c:pt idx="1">
                  <c:v>6.5882352941176476</c:v>
                </c:pt>
                <c:pt idx="2">
                  <c:v>10.705882352941178</c:v>
                </c:pt>
                <c:pt idx="3">
                  <c:v>0</c:v>
                </c:pt>
                <c:pt idx="4">
                  <c:v>0</c:v>
                </c:pt>
                <c:pt idx="5">
                  <c:v>0</c:v>
                </c:pt>
                <c:pt idx="6">
                  <c:v>0</c:v>
                </c:pt>
                <c:pt idx="7">
                  <c:v>0</c:v>
                </c:pt>
                <c:pt idx="8">
                  <c:v>0</c:v>
                </c:pt>
                <c:pt idx="9">
                  <c:v>0</c:v>
                </c:pt>
                <c:pt idx="10">
                  <c:v>0</c:v>
                </c:pt>
              </c:numCache>
            </c:numRef>
          </c:yVal>
          <c:smooth val="1"/>
          <c:extLst xmlns:c16r2="http://schemas.microsoft.com/office/drawing/2015/06/chart">
            <c:ext xmlns:c16="http://schemas.microsoft.com/office/drawing/2014/chart" uri="{C3380CC4-5D6E-409C-BE32-E72D297353CC}">
              <c16:uniqueId val="{00000002-EAC7-4CEF-B97D-F67A2C5B81D7}"/>
            </c:ext>
          </c:extLst>
        </c:ser>
        <c:ser>
          <c:idx val="1"/>
          <c:order val="3"/>
          <c:tx>
            <c:strRef>
              <c:f>'IOUT Calcs'!$T$42</c:f>
              <c:strCache>
                <c:ptCount val="1"/>
                <c:pt idx="0">
                  <c:v>Corrected Data</c:v>
                </c:pt>
              </c:strCache>
            </c:strRef>
          </c:tx>
          <c:spPr>
            <a:ln>
              <a:solidFill>
                <a:srgbClr val="7030A0"/>
              </a:solidFill>
              <a:prstDash val="dash"/>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Calcs'!$T$43:$T$53</c:f>
              <c:numCache>
                <c:formatCode>0.0</c:formatCode>
                <c:ptCount val="11"/>
                <c:pt idx="0">
                  <c:v>2.8043974346936853</c:v>
                </c:pt>
                <c:pt idx="1">
                  <c:v>7.059442115275492</c:v>
                </c:pt>
                <c:pt idx="2">
                  <c:v>11.048546503320937</c:v>
                </c:pt>
                <c:pt idx="3">
                  <c:v>0.67687509440278149</c:v>
                </c:pt>
                <c:pt idx="4">
                  <c:v>0.67687509440278149</c:v>
                </c:pt>
                <c:pt idx="5">
                  <c:v>0.67687509440278149</c:v>
                </c:pt>
                <c:pt idx="6">
                  <c:v>0.67687509440278149</c:v>
                </c:pt>
                <c:pt idx="7">
                  <c:v>0.67687509440278149</c:v>
                </c:pt>
                <c:pt idx="8">
                  <c:v>0.67687509440278149</c:v>
                </c:pt>
                <c:pt idx="9">
                  <c:v>0.67687509440278149</c:v>
                </c:pt>
                <c:pt idx="10">
                  <c:v>0.67687509440278149</c:v>
                </c:pt>
              </c:numCache>
            </c:numRef>
          </c:yVal>
          <c:smooth val="1"/>
          <c:extLst xmlns:c16r2="http://schemas.microsoft.com/office/drawing/2015/06/chart">
            <c:ext xmlns:c16="http://schemas.microsoft.com/office/drawing/2014/chart" uri="{C3380CC4-5D6E-409C-BE32-E72D297353CC}">
              <c16:uniqueId val="{00000003-EAC7-4CEF-B97D-F67A2C5B81D7}"/>
            </c:ext>
          </c:extLst>
        </c:ser>
        <c:ser>
          <c:idx val="2"/>
          <c:order val="4"/>
          <c:tx>
            <c:v>Ideal IMON Data</c:v>
          </c:tx>
          <c:spPr>
            <a:ln>
              <a:solidFill>
                <a:schemeClr val="tx1">
                  <a:lumMod val="50000"/>
                  <a:lumOff val="50000"/>
                </a:schemeClr>
              </a:solidFill>
              <a:prstDash val="sysDot"/>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4-EAC7-4CEF-B97D-F67A2C5B81D7}"/>
            </c:ext>
          </c:extLst>
        </c:ser>
        <c:axId val="102432768"/>
        <c:axId val="102434688"/>
      </c:scatterChart>
      <c:valAx>
        <c:axId val="102432768"/>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2434688"/>
        <c:crosses val="autoZero"/>
        <c:crossBetween val="midCat"/>
        <c:majorUnit val="10"/>
      </c:valAx>
      <c:valAx>
        <c:axId val="102434688"/>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IMON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2432768"/>
        <c:crosses val="autoZero"/>
        <c:crossBetween val="midCat"/>
        <c:majorUnit val="10"/>
      </c:valAx>
    </c:plotArea>
    <c:legend>
      <c:legendPos val="r"/>
      <c:layout>
        <c:manualLayout>
          <c:xMode val="edge"/>
          <c:yMode val="edge"/>
          <c:x val="9.5442820292347394E-2"/>
          <c:y val="9.6051227321238025E-2"/>
          <c:w val="0.23215832436250713"/>
          <c:h val="0.25186766275346878"/>
        </c:manualLayout>
      </c:layout>
      <c:txPr>
        <a:bodyPr/>
        <a:lstStyle/>
        <a:p>
          <a:pPr>
            <a:defRPr sz="1655"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PS2 IMON Actual and Corrected Data</a:t>
            </a:r>
          </a:p>
        </c:rich>
      </c:tx>
      <c:overlay val="1"/>
    </c:title>
    <c:plotArea>
      <c:layout>
        <c:manualLayout>
          <c:layoutTarget val="inner"/>
          <c:xMode val="edge"/>
          <c:yMode val="edge"/>
          <c:x val="7.6899154272382614E-2"/>
          <c:y val="6.8692558357741532E-2"/>
          <c:w val="0.90029116360454964"/>
          <c:h val="0.86316244104674456"/>
        </c:manualLayout>
      </c:layout>
      <c:scatterChart>
        <c:scatterStyle val="smoothMarker"/>
        <c:ser>
          <c:idx val="3"/>
          <c:order val="0"/>
          <c:tx>
            <c:strRef>
              <c:f>'IOUT Calcs'!$R$62</c:f>
              <c:strCache>
                <c:ptCount val="1"/>
                <c:pt idx="0">
                  <c:v>- Limit</c:v>
                </c:pt>
              </c:strCache>
            </c:strRef>
          </c:tx>
          <c:spPr>
            <a:ln>
              <a:solidFill>
                <a:srgbClr val="00B050"/>
              </a:solidFill>
            </a:ln>
          </c:spPr>
          <c:marker>
            <c:symbol val="none"/>
          </c:marker>
          <c:xVal>
            <c:numRef>
              <c:f>'IOUT Calcs'!$O$63:$O$67</c:f>
              <c:numCache>
                <c:formatCode>0.00</c:formatCode>
                <c:ptCount val="5"/>
                <c:pt idx="0">
                  <c:v>0</c:v>
                </c:pt>
                <c:pt idx="1">
                  <c:v>2</c:v>
                </c:pt>
                <c:pt idx="2">
                  <c:v>3</c:v>
                </c:pt>
                <c:pt idx="3">
                  <c:v>4</c:v>
                </c:pt>
                <c:pt idx="4">
                  <c:v>5</c:v>
                </c:pt>
              </c:numCache>
            </c:numRef>
          </c:xVal>
          <c:yVal>
            <c:numRef>
              <c:f>'IOUT Calcs'!$R$63:$R$67</c:f>
              <c:numCache>
                <c:formatCode>0.00</c:formatCode>
                <c:ptCount val="5"/>
                <c:pt idx="0">
                  <c:v>#N/A</c:v>
                </c:pt>
                <c:pt idx="1">
                  <c:v>0</c:v>
                </c:pt>
                <c:pt idx="2">
                  <c:v>0</c:v>
                </c:pt>
                <c:pt idx="3">
                  <c:v>0</c:v>
                </c:pt>
                <c:pt idx="4">
                  <c:v>0</c:v>
                </c:pt>
              </c:numCache>
            </c:numRef>
          </c:yVal>
          <c:smooth val="1"/>
          <c:extLst xmlns:c16r2="http://schemas.microsoft.com/office/drawing/2015/06/chart">
            <c:ext xmlns:c16="http://schemas.microsoft.com/office/drawing/2014/chart" uri="{C3380CC4-5D6E-409C-BE32-E72D297353CC}">
              <c16:uniqueId val="{00000000-7AD1-4676-AD66-6D31EDFF7363}"/>
            </c:ext>
          </c:extLst>
        </c:ser>
        <c:ser>
          <c:idx val="4"/>
          <c:order val="1"/>
          <c:tx>
            <c:strRef>
              <c:f>'IOUT Calcs'!$S$62</c:f>
              <c:strCache>
                <c:ptCount val="1"/>
                <c:pt idx="0">
                  <c:v>+ Limit</c:v>
                </c:pt>
              </c:strCache>
            </c:strRef>
          </c:tx>
          <c:spPr>
            <a:ln>
              <a:solidFill>
                <a:srgbClr val="00B050"/>
              </a:solidFill>
            </a:ln>
          </c:spPr>
          <c:marker>
            <c:symbol val="none"/>
          </c:marker>
          <c:xVal>
            <c:numRef>
              <c:f>'IOUT Calcs'!$O$63:$O$67</c:f>
              <c:numCache>
                <c:formatCode>0.00</c:formatCode>
                <c:ptCount val="5"/>
                <c:pt idx="0">
                  <c:v>0</c:v>
                </c:pt>
                <c:pt idx="1">
                  <c:v>2</c:v>
                </c:pt>
                <c:pt idx="2">
                  <c:v>3</c:v>
                </c:pt>
                <c:pt idx="3">
                  <c:v>4</c:v>
                </c:pt>
                <c:pt idx="4">
                  <c:v>5</c:v>
                </c:pt>
              </c:numCache>
            </c:numRef>
          </c:xVal>
          <c:yVal>
            <c:numRef>
              <c:f>'IOUT Calcs'!$S$63:$S$67</c:f>
              <c:numCache>
                <c:formatCode>0.00</c:formatCode>
                <c:ptCount val="5"/>
                <c:pt idx="0">
                  <c:v>#N/A</c:v>
                </c:pt>
                <c:pt idx="1">
                  <c:v>4</c:v>
                </c:pt>
                <c:pt idx="2">
                  <c:v>6</c:v>
                </c:pt>
                <c:pt idx="3">
                  <c:v>8</c:v>
                </c:pt>
                <c:pt idx="4">
                  <c:v>10</c:v>
                </c:pt>
              </c:numCache>
            </c:numRef>
          </c:yVal>
          <c:smooth val="1"/>
          <c:extLst xmlns:c16r2="http://schemas.microsoft.com/office/drawing/2015/06/chart">
            <c:ext xmlns:c16="http://schemas.microsoft.com/office/drawing/2014/chart" uri="{C3380CC4-5D6E-409C-BE32-E72D297353CC}">
              <c16:uniqueId val="{00000001-7AD1-4676-AD66-6D31EDFF7363}"/>
            </c:ext>
          </c:extLst>
        </c:ser>
        <c:ser>
          <c:idx val="0"/>
          <c:order val="2"/>
          <c:tx>
            <c:v>Measured IMON</c:v>
          </c:tx>
          <c:xVal>
            <c:numRef>
              <c:f>'IOUT Calcs'!$O$63:$O$67</c:f>
              <c:numCache>
                <c:formatCode>0.00</c:formatCode>
                <c:ptCount val="5"/>
                <c:pt idx="0">
                  <c:v>0</c:v>
                </c:pt>
                <c:pt idx="1">
                  <c:v>2</c:v>
                </c:pt>
                <c:pt idx="2">
                  <c:v>3</c:v>
                </c:pt>
                <c:pt idx="3">
                  <c:v>4</c:v>
                </c:pt>
                <c:pt idx="4">
                  <c:v>5</c:v>
                </c:pt>
              </c:numCache>
            </c:numRef>
          </c:xVal>
          <c:yVal>
            <c:numRef>
              <c:f>'IOUT Calcs'!$I$63:$I$67</c:f>
              <c:numCache>
                <c:formatCode>0.0</c:formatCode>
                <c:ptCount val="5"/>
                <c:pt idx="0">
                  <c:v>0</c:v>
                </c:pt>
                <c:pt idx="1">
                  <c:v>2.1960784313725492</c:v>
                </c:pt>
                <c:pt idx="2">
                  <c:v>3.2941176470588238</c:v>
                </c:pt>
                <c:pt idx="3">
                  <c:v>4.3921568627450984</c:v>
                </c:pt>
                <c:pt idx="4">
                  <c:v>5.4901960784313726</c:v>
                </c:pt>
              </c:numCache>
            </c:numRef>
          </c:yVal>
          <c:smooth val="1"/>
          <c:extLst xmlns:c16r2="http://schemas.microsoft.com/office/drawing/2015/06/chart">
            <c:ext xmlns:c16="http://schemas.microsoft.com/office/drawing/2014/chart" uri="{C3380CC4-5D6E-409C-BE32-E72D297353CC}">
              <c16:uniqueId val="{00000002-7AD1-4676-AD66-6D31EDFF7363}"/>
            </c:ext>
          </c:extLst>
        </c:ser>
        <c:ser>
          <c:idx val="1"/>
          <c:order val="3"/>
          <c:tx>
            <c:strRef>
              <c:f>'IOUT Calcs'!$T$62</c:f>
              <c:strCache>
                <c:ptCount val="1"/>
                <c:pt idx="0">
                  <c:v>Corrected Data</c:v>
                </c:pt>
              </c:strCache>
            </c:strRef>
          </c:tx>
          <c:spPr>
            <a:ln>
              <a:solidFill>
                <a:srgbClr val="7030A0"/>
              </a:solidFill>
              <a:prstDash val="dash"/>
            </a:ln>
          </c:spPr>
          <c:marker>
            <c:symbol val="none"/>
          </c:marker>
          <c:xVal>
            <c:numRef>
              <c:f>'IOUT Calcs'!$O$63:$O$67</c:f>
              <c:numCache>
                <c:formatCode>0.00</c:formatCode>
                <c:ptCount val="5"/>
                <c:pt idx="0">
                  <c:v>0</c:v>
                </c:pt>
                <c:pt idx="1">
                  <c:v>2</c:v>
                </c:pt>
                <c:pt idx="2">
                  <c:v>3</c:v>
                </c:pt>
                <c:pt idx="3">
                  <c:v>4</c:v>
                </c:pt>
                <c:pt idx="4">
                  <c:v>5</c:v>
                </c:pt>
              </c:numCache>
            </c:numRef>
          </c:xVal>
          <c:yVal>
            <c:numRef>
              <c:f>'IOUT Calcs'!$T$63:$T$67</c:f>
              <c:numCache>
                <c:formatCode>0.0</c:formatCode>
                <c:ptCount val="5"/>
                <c:pt idx="0">
                  <c:v>0.67687509440278149</c:v>
                </c:pt>
                <c:pt idx="1">
                  <c:v>2.8043974346936853</c:v>
                </c:pt>
                <c:pt idx="2">
                  <c:v>3.8681586048391368</c:v>
                </c:pt>
                <c:pt idx="3">
                  <c:v>4.9319197749845891</c:v>
                </c:pt>
                <c:pt idx="4">
                  <c:v>5.9956809451300401</c:v>
                </c:pt>
              </c:numCache>
            </c:numRef>
          </c:yVal>
          <c:smooth val="1"/>
          <c:extLst xmlns:c16r2="http://schemas.microsoft.com/office/drawing/2015/06/chart">
            <c:ext xmlns:c16="http://schemas.microsoft.com/office/drawing/2014/chart" uri="{C3380CC4-5D6E-409C-BE32-E72D297353CC}">
              <c16:uniqueId val="{00000003-7AD1-4676-AD66-6D31EDFF7363}"/>
            </c:ext>
          </c:extLst>
        </c:ser>
        <c:ser>
          <c:idx val="2"/>
          <c:order val="4"/>
          <c:tx>
            <c:v>Ideal IMON Data</c:v>
          </c:tx>
          <c:spPr>
            <a:ln>
              <a:solidFill>
                <a:schemeClr val="tx1">
                  <a:lumMod val="50000"/>
                  <a:lumOff val="50000"/>
                </a:schemeClr>
              </a:solidFill>
              <a:prstDash val="sysDot"/>
            </a:ln>
          </c:spPr>
          <c:marker>
            <c:symbol val="none"/>
          </c:marker>
          <c:xVal>
            <c:numRef>
              <c:f>'IOUT Calcs'!$O$63:$O$67</c:f>
              <c:numCache>
                <c:formatCode>0.00</c:formatCode>
                <c:ptCount val="5"/>
                <c:pt idx="0">
                  <c:v>0</c:v>
                </c:pt>
                <c:pt idx="1">
                  <c:v>2</c:v>
                </c:pt>
                <c:pt idx="2">
                  <c:v>3</c:v>
                </c:pt>
                <c:pt idx="3">
                  <c:v>4</c:v>
                </c:pt>
                <c:pt idx="4">
                  <c:v>5</c:v>
                </c:pt>
              </c:numCache>
            </c:numRef>
          </c:xVal>
          <c:yVal>
            <c:numRef>
              <c:f>'IOUT Calcs'!$O$63:$O$67</c:f>
              <c:numCache>
                <c:formatCode>0.00</c:formatCode>
                <c:ptCount val="5"/>
                <c:pt idx="0">
                  <c:v>0</c:v>
                </c:pt>
                <c:pt idx="1">
                  <c:v>2</c:v>
                </c:pt>
                <c:pt idx="2">
                  <c:v>3</c:v>
                </c:pt>
                <c:pt idx="3">
                  <c:v>4</c:v>
                </c:pt>
                <c:pt idx="4">
                  <c:v>5</c:v>
                </c:pt>
              </c:numCache>
            </c:numRef>
          </c:yVal>
          <c:smooth val="1"/>
          <c:extLst xmlns:c16r2="http://schemas.microsoft.com/office/drawing/2015/06/chart">
            <c:ext xmlns:c16="http://schemas.microsoft.com/office/drawing/2014/chart" uri="{C3380CC4-5D6E-409C-BE32-E72D297353CC}">
              <c16:uniqueId val="{00000004-7AD1-4676-AD66-6D31EDFF7363}"/>
            </c:ext>
          </c:extLst>
        </c:ser>
        <c:axId val="102493184"/>
        <c:axId val="103814272"/>
      </c:scatterChart>
      <c:valAx>
        <c:axId val="102493184"/>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3814272"/>
        <c:crosses val="autoZero"/>
        <c:crossBetween val="midCat"/>
      </c:valAx>
      <c:valAx>
        <c:axId val="103814272"/>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IMON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2493184"/>
        <c:crosses val="autoZero"/>
        <c:crossBetween val="midCat"/>
      </c:valAx>
    </c:plotArea>
    <c:legend>
      <c:legendPos val="r"/>
      <c:layout>
        <c:manualLayout>
          <c:xMode val="edge"/>
          <c:yMode val="edge"/>
          <c:x val="9.5111111111110994E-2"/>
          <c:y val="9.9000131233595759E-2"/>
          <c:w val="0.23555555555555555"/>
          <c:h val="0.24100026246719192"/>
        </c:manualLayout>
      </c:layout>
      <c:txPr>
        <a:bodyPr/>
        <a:lstStyle/>
        <a:p>
          <a:pPr>
            <a:defRPr sz="1655"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PS3 IMON Actual and Corrected Data</a:t>
            </a:r>
          </a:p>
        </c:rich>
      </c:tx>
      <c:overlay val="1"/>
    </c:title>
    <c:plotArea>
      <c:layout>
        <c:manualLayout>
          <c:layoutTarget val="inner"/>
          <c:xMode val="edge"/>
          <c:yMode val="edge"/>
          <c:x val="7.6899154272382614E-2"/>
          <c:y val="7.7605232501017585E-2"/>
          <c:w val="0.90029116360454964"/>
          <c:h val="0.86316244104674456"/>
        </c:manualLayout>
      </c:layout>
      <c:scatterChart>
        <c:scatterStyle val="smoothMarker"/>
        <c:ser>
          <c:idx val="3"/>
          <c:order val="0"/>
          <c:tx>
            <c:strRef>
              <c:f>'IOUT Calcs'!$R$76</c:f>
              <c:strCache>
                <c:ptCount val="1"/>
                <c:pt idx="0">
                  <c:v>- Limit</c:v>
                </c:pt>
              </c:strCache>
            </c:strRef>
          </c:tx>
          <c:spPr>
            <a:ln>
              <a:solidFill>
                <a:srgbClr val="00B050"/>
              </a:solidFill>
            </a:ln>
          </c:spPr>
          <c:marker>
            <c:symbol val="none"/>
          </c:marker>
          <c:xVal>
            <c:numRef>
              <c:f>'IOUT Calcs'!$O$77:$O$78</c:f>
              <c:numCache>
                <c:formatCode>0</c:formatCode>
                <c:ptCount val="2"/>
                <c:pt idx="0">
                  <c:v>0</c:v>
                </c:pt>
                <c:pt idx="1">
                  <c:v>2</c:v>
                </c:pt>
              </c:numCache>
            </c:numRef>
          </c:xVal>
          <c:yVal>
            <c:numRef>
              <c:f>'IOUT Calcs'!$R$77:$R$78</c:f>
              <c:numCache>
                <c:formatCode>0.00</c:formatCode>
                <c:ptCount val="2"/>
                <c:pt idx="0">
                  <c:v>0</c:v>
                </c:pt>
                <c:pt idx="1">
                  <c:v>0</c:v>
                </c:pt>
              </c:numCache>
            </c:numRef>
          </c:yVal>
          <c:smooth val="1"/>
          <c:extLst xmlns:c16r2="http://schemas.microsoft.com/office/drawing/2015/06/chart">
            <c:ext xmlns:c16="http://schemas.microsoft.com/office/drawing/2014/chart" uri="{C3380CC4-5D6E-409C-BE32-E72D297353CC}">
              <c16:uniqueId val="{00000000-C1A3-4BDC-A19C-0E491F1EEFDB}"/>
            </c:ext>
          </c:extLst>
        </c:ser>
        <c:ser>
          <c:idx val="4"/>
          <c:order val="1"/>
          <c:tx>
            <c:strRef>
              <c:f>'IOUT Calcs'!$S$76</c:f>
              <c:strCache>
                <c:ptCount val="1"/>
                <c:pt idx="0">
                  <c:v>+ Limit</c:v>
                </c:pt>
              </c:strCache>
            </c:strRef>
          </c:tx>
          <c:spPr>
            <a:ln>
              <a:solidFill>
                <a:srgbClr val="00B050"/>
              </a:solidFill>
            </a:ln>
          </c:spPr>
          <c:marker>
            <c:symbol val="none"/>
          </c:marker>
          <c:xVal>
            <c:numRef>
              <c:f>'IOUT Calcs'!$O$77:$O$78</c:f>
              <c:numCache>
                <c:formatCode>0</c:formatCode>
                <c:ptCount val="2"/>
                <c:pt idx="0">
                  <c:v>0</c:v>
                </c:pt>
                <c:pt idx="1">
                  <c:v>2</c:v>
                </c:pt>
              </c:numCache>
            </c:numRef>
          </c:xVal>
          <c:yVal>
            <c:numRef>
              <c:f>'IOUT Calcs'!$S$77:$S$78</c:f>
              <c:numCache>
                <c:formatCode>0.00</c:formatCode>
                <c:ptCount val="2"/>
                <c:pt idx="0">
                  <c:v>0</c:v>
                </c:pt>
                <c:pt idx="1">
                  <c:v>4</c:v>
                </c:pt>
              </c:numCache>
            </c:numRef>
          </c:yVal>
          <c:smooth val="1"/>
          <c:extLst xmlns:c16r2="http://schemas.microsoft.com/office/drawing/2015/06/chart">
            <c:ext xmlns:c16="http://schemas.microsoft.com/office/drawing/2014/chart" uri="{C3380CC4-5D6E-409C-BE32-E72D297353CC}">
              <c16:uniqueId val="{00000001-C1A3-4BDC-A19C-0E491F1EEFDB}"/>
            </c:ext>
          </c:extLst>
        </c:ser>
        <c:ser>
          <c:idx val="0"/>
          <c:order val="2"/>
          <c:tx>
            <c:v>Measured IMON</c:v>
          </c:tx>
          <c:xVal>
            <c:numRef>
              <c:f>'IOUT Calcs'!$O$77:$O$78</c:f>
              <c:numCache>
                <c:formatCode>0</c:formatCode>
                <c:ptCount val="2"/>
                <c:pt idx="0">
                  <c:v>0</c:v>
                </c:pt>
                <c:pt idx="1">
                  <c:v>2</c:v>
                </c:pt>
              </c:numCache>
            </c:numRef>
          </c:xVal>
          <c:yVal>
            <c:numRef>
              <c:f>'IOUT Calcs'!$I$77:$I$78</c:f>
              <c:numCache>
                <c:formatCode>0.0</c:formatCode>
                <c:ptCount val="2"/>
                <c:pt idx="0">
                  <c:v>0</c:v>
                </c:pt>
                <c:pt idx="1">
                  <c:v>2.1960784313725492</c:v>
                </c:pt>
              </c:numCache>
            </c:numRef>
          </c:yVal>
          <c:smooth val="1"/>
          <c:extLst xmlns:c16r2="http://schemas.microsoft.com/office/drawing/2015/06/chart">
            <c:ext xmlns:c16="http://schemas.microsoft.com/office/drawing/2014/chart" uri="{C3380CC4-5D6E-409C-BE32-E72D297353CC}">
              <c16:uniqueId val="{00000002-C1A3-4BDC-A19C-0E491F1EEFDB}"/>
            </c:ext>
          </c:extLst>
        </c:ser>
        <c:ser>
          <c:idx val="1"/>
          <c:order val="3"/>
          <c:tx>
            <c:strRef>
              <c:f>'IOUT Calcs'!$T$62</c:f>
              <c:strCache>
                <c:ptCount val="1"/>
                <c:pt idx="0">
                  <c:v>Corrected Data</c:v>
                </c:pt>
              </c:strCache>
            </c:strRef>
          </c:tx>
          <c:spPr>
            <a:ln>
              <a:solidFill>
                <a:srgbClr val="7030A0"/>
              </a:solidFill>
              <a:prstDash val="dash"/>
            </a:ln>
          </c:spPr>
          <c:marker>
            <c:symbol val="none"/>
          </c:marker>
          <c:xVal>
            <c:numRef>
              <c:f>'IOUT Calcs'!$O$77:$O$78</c:f>
              <c:numCache>
                <c:formatCode>0</c:formatCode>
                <c:ptCount val="2"/>
                <c:pt idx="0">
                  <c:v>0</c:v>
                </c:pt>
                <c:pt idx="1">
                  <c:v>2</c:v>
                </c:pt>
              </c:numCache>
            </c:numRef>
          </c:xVal>
          <c:yVal>
            <c:numRef>
              <c:f>'IOUT Calcs'!$T$77:$T$78</c:f>
              <c:numCache>
                <c:formatCode>0.0</c:formatCode>
                <c:ptCount val="2"/>
                <c:pt idx="0">
                  <c:v>0.67687509440278149</c:v>
                </c:pt>
                <c:pt idx="1">
                  <c:v>2.8043974346936853</c:v>
                </c:pt>
              </c:numCache>
            </c:numRef>
          </c:yVal>
          <c:smooth val="1"/>
          <c:extLst xmlns:c16r2="http://schemas.microsoft.com/office/drawing/2015/06/chart">
            <c:ext xmlns:c16="http://schemas.microsoft.com/office/drawing/2014/chart" uri="{C3380CC4-5D6E-409C-BE32-E72D297353CC}">
              <c16:uniqueId val="{00000003-C1A3-4BDC-A19C-0E491F1EEFDB}"/>
            </c:ext>
          </c:extLst>
        </c:ser>
        <c:ser>
          <c:idx val="2"/>
          <c:order val="4"/>
          <c:tx>
            <c:v>Ideal IMON Data</c:v>
          </c:tx>
          <c:spPr>
            <a:ln>
              <a:solidFill>
                <a:schemeClr val="tx1">
                  <a:lumMod val="50000"/>
                  <a:lumOff val="50000"/>
                </a:schemeClr>
              </a:solidFill>
              <a:prstDash val="sysDot"/>
            </a:ln>
          </c:spPr>
          <c:marker>
            <c:symbol val="none"/>
          </c:marker>
          <c:xVal>
            <c:numRef>
              <c:f>'IOUT Calcs'!$O$77:$O$78</c:f>
              <c:numCache>
                <c:formatCode>0</c:formatCode>
                <c:ptCount val="2"/>
                <c:pt idx="0">
                  <c:v>0</c:v>
                </c:pt>
                <c:pt idx="1">
                  <c:v>2</c:v>
                </c:pt>
              </c:numCache>
            </c:numRef>
          </c:xVal>
          <c:yVal>
            <c:numRef>
              <c:f>'IOUT Calcs'!$O$77:$O$78</c:f>
              <c:numCache>
                <c:formatCode>0</c:formatCode>
                <c:ptCount val="2"/>
                <c:pt idx="0">
                  <c:v>0</c:v>
                </c:pt>
                <c:pt idx="1">
                  <c:v>2</c:v>
                </c:pt>
              </c:numCache>
            </c:numRef>
          </c:yVal>
          <c:smooth val="1"/>
          <c:extLst xmlns:c16r2="http://schemas.microsoft.com/office/drawing/2015/06/chart">
            <c:ext xmlns:c16="http://schemas.microsoft.com/office/drawing/2014/chart" uri="{C3380CC4-5D6E-409C-BE32-E72D297353CC}">
              <c16:uniqueId val="{00000004-C1A3-4BDC-A19C-0E491F1EEFDB}"/>
            </c:ext>
          </c:extLst>
        </c:ser>
        <c:axId val="103950592"/>
        <c:axId val="103960960"/>
      </c:scatterChart>
      <c:valAx>
        <c:axId val="103950592"/>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3960960"/>
        <c:crosses val="autoZero"/>
        <c:crossBetween val="midCat"/>
      </c:valAx>
      <c:valAx>
        <c:axId val="103960960"/>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IMON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3950592"/>
        <c:crosses val="autoZero"/>
        <c:crossBetween val="midCat"/>
      </c:valAx>
    </c:plotArea>
    <c:legend>
      <c:legendPos val="r"/>
      <c:layout>
        <c:manualLayout>
          <c:xMode val="edge"/>
          <c:yMode val="edge"/>
          <c:x val="9.6660923755356731E-2"/>
          <c:y val="0.1160001312335959"/>
          <c:w val="0.23286502082670243"/>
          <c:h val="0.24100026246719192"/>
        </c:manualLayout>
      </c:layout>
      <c:txPr>
        <a:bodyPr/>
        <a:lstStyle/>
        <a:p>
          <a:pPr>
            <a:defRPr sz="1655"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PS0 IMON Actual and Corrected Data</a:t>
            </a:r>
          </a:p>
        </c:rich>
      </c:tx>
      <c:overlay val="1"/>
    </c:title>
    <c:plotArea>
      <c:layout>
        <c:manualLayout>
          <c:layoutTarget val="inner"/>
          <c:xMode val="edge"/>
          <c:yMode val="edge"/>
          <c:x val="9.9796201945345053E-2"/>
          <c:y val="5.4993947674349002E-2"/>
          <c:w val="0.87506317225052765"/>
          <c:h val="0.83523428049754667"/>
        </c:manualLayout>
      </c:layout>
      <c:scatterChart>
        <c:scatterStyle val="smoothMarker"/>
        <c:ser>
          <c:idx val="3"/>
          <c:order val="0"/>
          <c:tx>
            <c:strRef>
              <c:f>'IOUT Calcs'!$R$22</c:f>
              <c:strCache>
                <c:ptCount val="1"/>
                <c:pt idx="0">
                  <c:v>- Limit</c:v>
                </c:pt>
              </c:strCache>
            </c:strRef>
          </c:tx>
          <c:spPr>
            <a:ln>
              <a:solidFill>
                <a:srgbClr val="00B050"/>
              </a:solidFill>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Calcs'!$R$23:$R$33</c:f>
              <c:numCache>
                <c:formatCode>0.00</c:formatCode>
                <c:ptCount val="11"/>
                <c:pt idx="0">
                  <c:v>#N/A</c:v>
                </c:pt>
                <c:pt idx="1">
                  <c:v>5.04</c:v>
                </c:pt>
                <c:pt idx="2">
                  <c:v>9.0399999999999991</c:v>
                </c:pt>
                <c:pt idx="3">
                  <c:v>12.992000000000001</c:v>
                </c:pt>
                <c:pt idx="4">
                  <c:v>16.704000000000001</c:v>
                </c:pt>
                <c:pt idx="5">
                  <c:v>21.459</c:v>
                </c:pt>
                <c:pt idx="6">
                  <c:v>26.18</c:v>
                </c:pt>
                <c:pt idx="7">
                  <c:v>30.855</c:v>
                </c:pt>
                <c:pt idx="8">
                  <c:v>35.567999999999998</c:v>
                </c:pt>
                <c:pt idx="9">
                  <c:v>40.290999999999997</c:v>
                </c:pt>
                <c:pt idx="10">
                  <c:v>44.975999999999999</c:v>
                </c:pt>
              </c:numCache>
            </c:numRef>
          </c:yVal>
          <c:smooth val="1"/>
          <c:extLst xmlns:c16r2="http://schemas.microsoft.com/office/drawing/2015/06/chart">
            <c:ext xmlns:c16="http://schemas.microsoft.com/office/drawing/2014/chart" uri="{C3380CC4-5D6E-409C-BE32-E72D297353CC}">
              <c16:uniqueId val="{00000000-1303-46D4-8A22-6BD0A0C84D1B}"/>
            </c:ext>
          </c:extLst>
        </c:ser>
        <c:ser>
          <c:idx val="4"/>
          <c:order val="1"/>
          <c:tx>
            <c:strRef>
              <c:f>'IOUT Calcs'!$S$22</c:f>
              <c:strCache>
                <c:ptCount val="1"/>
                <c:pt idx="0">
                  <c:v>+ Limit</c:v>
                </c:pt>
              </c:strCache>
            </c:strRef>
          </c:tx>
          <c:spPr>
            <a:ln>
              <a:solidFill>
                <a:srgbClr val="00B050"/>
              </a:solidFill>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Calcs'!$S$23:$S$33</c:f>
              <c:numCache>
                <c:formatCode>0.00</c:formatCode>
                <c:ptCount val="11"/>
                <c:pt idx="0">
                  <c:v>#N/A</c:v>
                </c:pt>
                <c:pt idx="1">
                  <c:v>6.96</c:v>
                </c:pt>
                <c:pt idx="2">
                  <c:v>10.96</c:v>
                </c:pt>
                <c:pt idx="3">
                  <c:v>15.007999999999999</c:v>
                </c:pt>
                <c:pt idx="4">
                  <c:v>19.295999999999999</c:v>
                </c:pt>
                <c:pt idx="5">
                  <c:v>24.541</c:v>
                </c:pt>
                <c:pt idx="6">
                  <c:v>29.82</c:v>
                </c:pt>
                <c:pt idx="7">
                  <c:v>35.145000000000003</c:v>
                </c:pt>
                <c:pt idx="8">
                  <c:v>40.432000000000002</c:v>
                </c:pt>
                <c:pt idx="9">
                  <c:v>45.709000000000003</c:v>
                </c:pt>
                <c:pt idx="10">
                  <c:v>51.024000000000001</c:v>
                </c:pt>
              </c:numCache>
            </c:numRef>
          </c:yVal>
          <c:smooth val="1"/>
          <c:extLst xmlns:c16r2="http://schemas.microsoft.com/office/drawing/2015/06/chart">
            <c:ext xmlns:c16="http://schemas.microsoft.com/office/drawing/2014/chart" uri="{C3380CC4-5D6E-409C-BE32-E72D297353CC}">
              <c16:uniqueId val="{00000001-1303-46D4-8A22-6BD0A0C84D1B}"/>
            </c:ext>
          </c:extLst>
        </c:ser>
        <c:ser>
          <c:idx val="0"/>
          <c:order val="2"/>
          <c:tx>
            <c:v>Measured IMON</c:v>
          </c:tx>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Calcs'!$I$23:$I$33</c:f>
              <c:numCache>
                <c:formatCode>0.0</c:formatCode>
                <c:ptCount val="11"/>
                <c:pt idx="0">
                  <c:v>1.3725490196078431</c:v>
                </c:pt>
                <c:pt idx="1">
                  <c:v>5.4901960784313726</c:v>
                </c:pt>
                <c:pt idx="2">
                  <c:v>9.6078431372549034</c:v>
                </c:pt>
                <c:pt idx="3">
                  <c:v>13.725490196078432</c:v>
                </c:pt>
                <c:pt idx="4">
                  <c:v>17.843137254901961</c:v>
                </c:pt>
                <c:pt idx="5">
                  <c:v>23.058823529411768</c:v>
                </c:pt>
                <c:pt idx="6">
                  <c:v>28.274509803921571</c:v>
                </c:pt>
                <c:pt idx="7">
                  <c:v>33.490196078431374</c:v>
                </c:pt>
                <c:pt idx="8">
                  <c:v>38.431372549019613</c:v>
                </c:pt>
                <c:pt idx="9">
                  <c:v>43.647058823529413</c:v>
                </c:pt>
                <c:pt idx="10">
                  <c:v>48.86274509803922</c:v>
                </c:pt>
              </c:numCache>
            </c:numRef>
          </c:yVal>
          <c:smooth val="1"/>
          <c:extLst xmlns:c16r2="http://schemas.microsoft.com/office/drawing/2015/06/chart">
            <c:ext xmlns:c16="http://schemas.microsoft.com/office/drawing/2014/chart" uri="{C3380CC4-5D6E-409C-BE32-E72D297353CC}">
              <c16:uniqueId val="{00000002-1303-46D4-8A22-6BD0A0C84D1B}"/>
            </c:ext>
          </c:extLst>
        </c:ser>
        <c:ser>
          <c:idx val="1"/>
          <c:order val="3"/>
          <c:tx>
            <c:strRef>
              <c:f>'IOUT Calcs'!$T$22</c:f>
              <c:strCache>
                <c:ptCount val="1"/>
                <c:pt idx="0">
                  <c:v>Corrected Data</c:v>
                </c:pt>
              </c:strCache>
            </c:strRef>
          </c:tx>
          <c:spPr>
            <a:ln>
              <a:solidFill>
                <a:srgbClr val="7030A0"/>
              </a:solidFill>
              <a:prstDash val="dash"/>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Calcs'!$T$23:$T$33</c:f>
              <c:numCache>
                <c:formatCode>0.0</c:formatCode>
                <c:ptCount val="11"/>
                <c:pt idx="0">
                  <c:v>2.0065765570845961</c:v>
                </c:pt>
                <c:pt idx="1">
                  <c:v>5.9956809451300401</c:v>
                </c:pt>
                <c:pt idx="2">
                  <c:v>9.9847853331754859</c:v>
                </c:pt>
                <c:pt idx="3">
                  <c:v>13.97388972122093</c:v>
                </c:pt>
                <c:pt idx="4">
                  <c:v>17.962994109266372</c:v>
                </c:pt>
                <c:pt idx="5">
                  <c:v>23.015859667457271</c:v>
                </c:pt>
                <c:pt idx="6">
                  <c:v>28.068725225648166</c:v>
                </c:pt>
                <c:pt idx="7">
                  <c:v>33.121590783839061</c:v>
                </c:pt>
                <c:pt idx="8">
                  <c:v>37.908516049493599</c:v>
                </c:pt>
                <c:pt idx="9">
                  <c:v>42.961381607684487</c:v>
                </c:pt>
                <c:pt idx="10">
                  <c:v>48.014247165875389</c:v>
                </c:pt>
              </c:numCache>
            </c:numRef>
          </c:yVal>
          <c:smooth val="1"/>
          <c:extLst xmlns:c16r2="http://schemas.microsoft.com/office/drawing/2015/06/chart">
            <c:ext xmlns:c16="http://schemas.microsoft.com/office/drawing/2014/chart" uri="{C3380CC4-5D6E-409C-BE32-E72D297353CC}">
              <c16:uniqueId val="{00000003-1303-46D4-8A22-6BD0A0C84D1B}"/>
            </c:ext>
          </c:extLst>
        </c:ser>
        <c:ser>
          <c:idx val="2"/>
          <c:order val="4"/>
          <c:tx>
            <c:v>Ideal IMON Data</c:v>
          </c:tx>
          <c:spPr>
            <a:ln>
              <a:solidFill>
                <a:schemeClr val="tx1">
                  <a:lumMod val="50000"/>
                  <a:lumOff val="50000"/>
                </a:schemeClr>
              </a:solidFill>
              <a:prstDash val="sysDot"/>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yVal>
          <c:smooth val="1"/>
          <c:extLst xmlns:c16r2="http://schemas.microsoft.com/office/drawing/2015/06/chart">
            <c:ext xmlns:c16="http://schemas.microsoft.com/office/drawing/2014/chart" uri="{C3380CC4-5D6E-409C-BE32-E72D297353CC}">
              <c16:uniqueId val="{00000004-1303-46D4-8A22-6BD0A0C84D1B}"/>
            </c:ext>
          </c:extLst>
        </c:ser>
        <c:axId val="103884288"/>
        <c:axId val="103886208"/>
      </c:scatterChart>
      <c:valAx>
        <c:axId val="103884288"/>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3886208"/>
        <c:crosses val="autoZero"/>
        <c:crossBetween val="midCat"/>
        <c:majorUnit val="10"/>
      </c:valAx>
      <c:valAx>
        <c:axId val="103886208"/>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IMON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103884288"/>
        <c:crosses val="autoZero"/>
        <c:crossBetween val="midCat"/>
        <c:majorUnit val="10"/>
      </c:valAx>
    </c:plotArea>
    <c:legend>
      <c:legendPos val="r"/>
      <c:layout>
        <c:manualLayout>
          <c:xMode val="edge"/>
          <c:yMode val="edge"/>
          <c:x val="0.11237671316142428"/>
          <c:y val="6.3321563631907579E-2"/>
          <c:w val="0.18223254553317528"/>
          <c:h val="0.45758746769031738"/>
        </c:manualLayout>
      </c:layout>
      <c:txPr>
        <a:bodyPr/>
        <a:lstStyle/>
        <a:p>
          <a:pPr>
            <a:defRPr sz="110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zh-TW"/>
  <c:chart>
    <c:plotArea>
      <c:layout>
        <c:manualLayout>
          <c:layoutTarget val="inner"/>
          <c:xMode val="edge"/>
          <c:yMode val="edge"/>
          <c:x val="9.5448007651901479E-2"/>
          <c:y val="3.3402922755741145E-2"/>
          <c:w val="0.81497914225854506"/>
          <c:h val="0.87265135699373808"/>
        </c:manualLayout>
      </c:layout>
      <c:scatterChart>
        <c:scatterStyle val="lineMarker"/>
        <c:ser>
          <c:idx val="0"/>
          <c:order val="5"/>
          <c:tx>
            <c:strRef>
              <c:f>'Static LL'!$C$40</c:f>
              <c:strCache>
                <c:ptCount val="1"/>
                <c:pt idx="0">
                  <c:v>Min LL Slope</c:v>
                </c:pt>
              </c:strCache>
            </c:strRef>
          </c:tx>
          <c:spPr>
            <a:ln>
              <a:solidFill>
                <a:srgbClr val="00B050"/>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LL'!$C$41:$C$51</c:f>
              <c:numCache>
                <c:formatCode>0.0000_ </c:formatCode>
                <c:ptCount val="11"/>
                <c:pt idx="0" formatCode="0.0000">
                  <c:v>0.60199999999999998</c:v>
                </c:pt>
                <c:pt idx="1">
                  <c:v>0.60139999999999993</c:v>
                </c:pt>
                <c:pt idx="2">
                  <c:v>0.60019999999999996</c:v>
                </c:pt>
                <c:pt idx="3">
                  <c:v>0.59899999999999998</c:v>
                </c:pt>
                <c:pt idx="4">
                  <c:v>#N/A</c:v>
                </c:pt>
                <c:pt idx="5">
                  <c:v>#N/A</c:v>
                </c:pt>
                <c:pt idx="6">
                  <c:v>#N/A</c:v>
                </c:pt>
                <c:pt idx="7">
                  <c:v>#N/A</c:v>
                </c:pt>
                <c:pt idx="8">
                  <c:v>#N/A</c:v>
                </c:pt>
                <c:pt idx="9">
                  <c:v>#N/A</c:v>
                </c:pt>
                <c:pt idx="10">
                  <c:v>#N/A</c:v>
                </c:pt>
              </c:numCache>
            </c:numRef>
          </c:yVal>
          <c:extLst xmlns:c16r2="http://schemas.microsoft.com/office/drawing/2015/06/chart">
            <c:ext xmlns:c16="http://schemas.microsoft.com/office/drawing/2014/chart" uri="{C3380CC4-5D6E-409C-BE32-E72D297353CC}">
              <c16:uniqueId val="{00000000-78DA-44C6-864D-8CC50AF2396E}"/>
            </c:ext>
          </c:extLst>
        </c:ser>
        <c:ser>
          <c:idx val="2"/>
          <c:order val="6"/>
          <c:tx>
            <c:strRef>
              <c:f>'Static LL'!$D$40</c:f>
              <c:strCache>
                <c:ptCount val="1"/>
                <c:pt idx="0">
                  <c:v>Max LL Slope</c:v>
                </c:pt>
              </c:strCache>
            </c:strRef>
          </c:tx>
          <c:spPr>
            <a:ln>
              <a:solidFill>
                <a:srgbClr val="00B050"/>
              </a:solidFill>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LL'!$D$41:$D$51</c:f>
              <c:numCache>
                <c:formatCode>0.0000_ </c:formatCode>
                <c:ptCount val="11"/>
                <c:pt idx="0" formatCode="0.0000">
                  <c:v>0.60199999999999998</c:v>
                </c:pt>
                <c:pt idx="1">
                  <c:v>0.59539999999999993</c:v>
                </c:pt>
                <c:pt idx="2">
                  <c:v>0.58219999999999994</c:v>
                </c:pt>
                <c:pt idx="3">
                  <c:v>0.56899999999999995</c:v>
                </c:pt>
                <c:pt idx="4">
                  <c:v>#N/A</c:v>
                </c:pt>
                <c:pt idx="5">
                  <c:v>#N/A</c:v>
                </c:pt>
                <c:pt idx="6">
                  <c:v>#N/A</c:v>
                </c:pt>
                <c:pt idx="7">
                  <c:v>#N/A</c:v>
                </c:pt>
                <c:pt idx="8">
                  <c:v>#N/A</c:v>
                </c:pt>
                <c:pt idx="9">
                  <c:v>#N/A</c:v>
                </c:pt>
                <c:pt idx="10">
                  <c:v>#N/A</c:v>
                </c:pt>
              </c:numCache>
            </c:numRef>
          </c:yVal>
          <c:extLst xmlns:c16r2="http://schemas.microsoft.com/office/drawing/2015/06/chart">
            <c:ext xmlns:c16="http://schemas.microsoft.com/office/drawing/2014/chart" uri="{C3380CC4-5D6E-409C-BE32-E72D297353CC}">
              <c16:uniqueId val="{00000001-78DA-44C6-864D-8CC50AF2396E}"/>
            </c:ext>
          </c:extLst>
        </c:ser>
        <c:axId val="96473088"/>
        <c:axId val="96475392"/>
      </c:scatterChart>
      <c:scatterChart>
        <c:scatterStyle val="smoothMarker"/>
        <c:ser>
          <c:idx val="1"/>
          <c:order val="0"/>
          <c:tx>
            <c:v>VID2  Loadline</c:v>
          </c:tx>
          <c:spPr>
            <a:ln w="12700">
              <a:solidFill>
                <a:srgbClr val="000080"/>
              </a:solidFill>
              <a:prstDash val="solid"/>
            </a:ln>
          </c:spPr>
          <c:marker>
            <c:symbol val="square"/>
            <c:size val="5"/>
            <c:spPr>
              <a:solidFill>
                <a:srgbClr val="000080"/>
              </a:solidFill>
              <a:ln>
                <a:solidFill>
                  <a:srgbClr val="000080"/>
                </a:solidFill>
                <a:prstDash val="solid"/>
              </a:ln>
            </c:spPr>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LL'!$N$41:$N$51</c:f>
              <c:numCache>
                <c:formatCode>0.0000_ </c:formatCode>
                <c:ptCount val="11"/>
                <c:pt idx="0">
                  <c:v>0.60199999999999998</c:v>
                </c:pt>
                <c:pt idx="1">
                  <c:v>0.59840000000000004</c:v>
                </c:pt>
                <c:pt idx="2">
                  <c:v>0.59099999999999997</c:v>
                </c:pt>
                <c:pt idx="3">
                  <c:v>0.58389999999999997</c:v>
                </c:pt>
              </c:numCache>
            </c:numRef>
          </c:yVal>
          <c:smooth val="1"/>
          <c:extLst xmlns:c16r2="http://schemas.microsoft.com/office/drawing/2015/06/chart">
            <c:ext xmlns:c16="http://schemas.microsoft.com/office/drawing/2014/chart" uri="{C3380CC4-5D6E-409C-BE32-E72D297353CC}">
              <c16:uniqueId val="{00000002-78DA-44C6-864D-8CC50AF2396E}"/>
            </c:ext>
          </c:extLst>
        </c:ser>
        <c:ser>
          <c:idx val="4"/>
          <c:order val="2"/>
          <c:tx>
            <c:v>Min V @ I_Min</c:v>
          </c:tx>
          <c:spPr>
            <a:ln w="38100">
              <a:solidFill>
                <a:srgbClr val="FF0000"/>
              </a:solidFill>
              <a:prstDash val="solid"/>
            </a:ln>
          </c:spPr>
          <c:marker>
            <c:symbol val="dash"/>
            <c:size val="7"/>
            <c:spPr>
              <a:noFill/>
              <a:ln>
                <a:solidFill>
                  <a:srgbClr val="FF0000"/>
                </a:solidFill>
                <a:prstDash val="solid"/>
              </a:ln>
            </c:spPr>
          </c:marker>
          <c:xVal>
            <c:numRef>
              <c:f>'Static LL'!$M$41</c:f>
              <c:numCache>
                <c:formatCode>0</c:formatCode>
                <c:ptCount val="1"/>
                <c:pt idx="0">
                  <c:v>0</c:v>
                </c:pt>
              </c:numCache>
            </c:numRef>
          </c:xVal>
          <c:yVal>
            <c:numRef>
              <c:f>'Static LL'!$AO$41</c:f>
              <c:numCache>
                <c:formatCode>0.0000</c:formatCode>
                <c:ptCount val="1"/>
                <c:pt idx="0">
                  <c:v>0.59499999999999997</c:v>
                </c:pt>
              </c:numCache>
            </c:numRef>
          </c:yVal>
          <c:smooth val="1"/>
          <c:extLst xmlns:c16r2="http://schemas.microsoft.com/office/drawing/2015/06/chart">
            <c:ext xmlns:c16="http://schemas.microsoft.com/office/drawing/2014/chart" uri="{C3380CC4-5D6E-409C-BE32-E72D297353CC}">
              <c16:uniqueId val="{00000003-78DA-44C6-864D-8CC50AF2396E}"/>
            </c:ext>
          </c:extLst>
        </c:ser>
        <c:ser>
          <c:idx val="5"/>
          <c:order val="3"/>
          <c:tx>
            <c:v>Max V @ I_Min</c:v>
          </c:tx>
          <c:spPr>
            <a:ln w="38100">
              <a:solidFill>
                <a:srgbClr val="FF0000"/>
              </a:solidFill>
              <a:prstDash val="solid"/>
            </a:ln>
          </c:spPr>
          <c:marker>
            <c:symbol val="dash"/>
            <c:size val="7"/>
            <c:spPr>
              <a:solidFill>
                <a:srgbClr val="FF0000"/>
              </a:solidFill>
              <a:ln>
                <a:solidFill>
                  <a:srgbClr val="FF0000"/>
                </a:solidFill>
                <a:prstDash val="solid"/>
              </a:ln>
            </c:spPr>
          </c:marker>
          <c:xVal>
            <c:numRef>
              <c:f>'Static LL'!$M$41</c:f>
              <c:numCache>
                <c:formatCode>0</c:formatCode>
                <c:ptCount val="1"/>
                <c:pt idx="0">
                  <c:v>0</c:v>
                </c:pt>
              </c:numCache>
            </c:numRef>
          </c:xVal>
          <c:yVal>
            <c:numRef>
              <c:f>'Static LL'!$AO$42</c:f>
              <c:numCache>
                <c:formatCode>0.0000</c:formatCode>
                <c:ptCount val="1"/>
                <c:pt idx="0">
                  <c:v>0.60499999999999998</c:v>
                </c:pt>
              </c:numCache>
            </c:numRef>
          </c:yVal>
          <c:smooth val="1"/>
          <c:extLst xmlns:c16r2="http://schemas.microsoft.com/office/drawing/2015/06/chart">
            <c:ext xmlns:c16="http://schemas.microsoft.com/office/drawing/2014/chart" uri="{C3380CC4-5D6E-409C-BE32-E72D297353CC}">
              <c16:uniqueId val="{00000004-78DA-44C6-864D-8CC50AF2396E}"/>
            </c:ext>
          </c:extLst>
        </c:ser>
        <c:ser>
          <c:idx val="6"/>
          <c:order val="4"/>
          <c:tx>
            <c:v>Ideal LL</c:v>
          </c:tx>
          <c:spPr>
            <a:ln w="25400">
              <a:solidFill>
                <a:srgbClr val="993366"/>
              </a:solidFill>
              <a:prstDash val="solid"/>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LL'!$E$41:$E$51</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xmlns:c16r2="http://schemas.microsoft.com/office/drawing/2015/06/chart">
            <c:ext xmlns:c16="http://schemas.microsoft.com/office/drawing/2014/chart" uri="{C3380CC4-5D6E-409C-BE32-E72D297353CC}">
              <c16:uniqueId val="{00000005-78DA-44C6-864D-8CC50AF2396E}"/>
            </c:ext>
          </c:extLst>
        </c:ser>
        <c:axId val="96473088"/>
        <c:axId val="96475392"/>
      </c:scatterChart>
      <c:scatterChart>
        <c:scatterStyle val="lineMarker"/>
        <c:ser>
          <c:idx val="3"/>
          <c:order val="1"/>
          <c:tx>
            <c:v>Efficiency</c:v>
          </c:tx>
          <c:spPr>
            <a:ln w="12700">
              <a:solidFill>
                <a:srgbClr val="00FFFF"/>
              </a:solidFill>
              <a:prstDash val="solid"/>
            </a:ln>
          </c:spPr>
          <c:marker>
            <c:symbol val="x"/>
            <c:size val="5"/>
            <c:spPr>
              <a:noFill/>
              <a:ln>
                <a:solidFill>
                  <a:srgbClr val="00FFFF"/>
                </a:solidFill>
                <a:prstDash val="solid"/>
              </a:ln>
            </c:spPr>
          </c:marker>
          <c:yVal>
            <c:numRef>
              <c:f>'Static LL'!$T$41:$T$51</c:f>
              <c:numCache>
                <c:formatCode>0%</c:formatCode>
                <c:ptCount val="11"/>
                <c:pt idx="0">
                  <c:v>0</c:v>
                </c:pt>
                <c:pt idx="1">
                  <c:v>0</c:v>
                </c:pt>
                <c:pt idx="2">
                  <c:v>0</c:v>
                </c:pt>
                <c:pt idx="3">
                  <c:v>0</c:v>
                </c:pt>
                <c:pt idx="4">
                  <c:v>#N/A</c:v>
                </c:pt>
                <c:pt idx="5">
                  <c:v>#N/A</c:v>
                </c:pt>
                <c:pt idx="6">
                  <c:v>#N/A</c:v>
                </c:pt>
                <c:pt idx="7">
                  <c:v>#N/A</c:v>
                </c:pt>
                <c:pt idx="8">
                  <c:v>#N/A</c:v>
                </c:pt>
                <c:pt idx="9">
                  <c:v>#N/A</c:v>
                </c:pt>
                <c:pt idx="10">
                  <c:v>#N/A</c:v>
                </c:pt>
              </c:numCache>
            </c:numRef>
          </c:yVal>
          <c:extLst xmlns:c16r2="http://schemas.microsoft.com/office/drawing/2015/06/chart">
            <c:ext xmlns:c16="http://schemas.microsoft.com/office/drawing/2014/chart" uri="{C3380CC4-5D6E-409C-BE32-E72D297353CC}">
              <c16:uniqueId val="{00000006-78DA-44C6-864D-8CC50AF2396E}"/>
            </c:ext>
          </c:extLst>
        </c:ser>
        <c:axId val="96498048"/>
        <c:axId val="96499584"/>
      </c:scatterChart>
      <c:valAx>
        <c:axId val="96473088"/>
        <c:scaling>
          <c:orientation val="minMax"/>
        </c:scaling>
        <c:axPos val="b"/>
        <c:title>
          <c:tx>
            <c:rich>
              <a:bodyPr/>
              <a:lstStyle/>
              <a:p>
                <a:pPr>
                  <a:defRPr sz="1000" b="1" i="0" u="none" strike="noStrike" baseline="0">
                    <a:solidFill>
                      <a:srgbClr val="000000"/>
                    </a:solidFill>
                    <a:latin typeface="Arial"/>
                    <a:ea typeface="Arial"/>
                    <a:cs typeface="Arial"/>
                  </a:defRPr>
                </a:pPr>
                <a:r>
                  <a:rPr lang="en-US"/>
                  <a:t>Load Current (A)</a:t>
                </a:r>
              </a:p>
            </c:rich>
          </c:tx>
          <c:layout>
            <c:manualLayout>
              <c:xMode val="edge"/>
              <c:yMode val="edge"/>
              <c:x val="0.42290818652965062"/>
              <c:y val="0.94363261410505495"/>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475392"/>
        <c:crosses val="autoZero"/>
        <c:crossBetween val="midCat"/>
      </c:valAx>
      <c:valAx>
        <c:axId val="96475392"/>
        <c:scaling>
          <c:orientation val="minMax"/>
          <c:max val="0.63000000000000045"/>
          <c:min val="0.54"/>
        </c:scaling>
        <c:axPos val="l"/>
        <c:title>
          <c:tx>
            <c:rich>
              <a:bodyPr/>
              <a:lstStyle/>
              <a:p>
                <a:pPr>
                  <a:defRPr sz="1000" b="1" i="0" u="none" strike="noStrike" baseline="0">
                    <a:solidFill>
                      <a:srgbClr val="000000"/>
                    </a:solidFill>
                    <a:latin typeface="Arial"/>
                    <a:ea typeface="Arial"/>
                    <a:cs typeface="Arial"/>
                  </a:defRPr>
                </a:pPr>
                <a:r>
                  <a:rPr lang="en-US"/>
                  <a:t>Output Voltage (V)</a:t>
                </a:r>
              </a:p>
            </c:rich>
          </c:tx>
          <c:layout>
            <c:manualLayout>
              <c:xMode val="edge"/>
              <c:yMode val="edge"/>
              <c:x val="7.3422694514880694E-3"/>
              <c:y val="0.34446773698742233"/>
            </c:manualLayout>
          </c:layout>
          <c:spPr>
            <a:noFill/>
            <a:ln w="25400">
              <a:noFill/>
            </a:ln>
          </c:spPr>
        </c:title>
        <c:numFmt formatCode="0.0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473088"/>
        <c:crosses val="autoZero"/>
        <c:crossBetween val="midCat"/>
      </c:valAx>
      <c:valAx>
        <c:axId val="96498048"/>
        <c:scaling>
          <c:orientation val="minMax"/>
        </c:scaling>
        <c:delete val="1"/>
        <c:axPos val="b"/>
        <c:tickLblPos val="none"/>
        <c:crossAx val="96499584"/>
        <c:crosses val="autoZero"/>
        <c:crossBetween val="midCat"/>
      </c:valAx>
      <c:valAx>
        <c:axId val="96499584"/>
        <c:scaling>
          <c:orientation val="minMax"/>
        </c:scaling>
        <c:axPos val="r"/>
        <c:numFmt formatCode="0%"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498048"/>
        <c:crosses val="max"/>
        <c:crossBetween val="midCat"/>
      </c:valAx>
      <c:spPr>
        <a:solidFill>
          <a:srgbClr val="C0C0C0"/>
        </a:solidFill>
        <a:ln w="12700">
          <a:solidFill>
            <a:srgbClr val="808080"/>
          </a:solidFill>
          <a:prstDash val="solid"/>
        </a:ln>
      </c:spPr>
    </c:plotArea>
    <c:legend>
      <c:legendPos val="r"/>
      <c:layout>
        <c:manualLayout>
          <c:xMode val="edge"/>
          <c:yMode val="edge"/>
          <c:x val="0.74258474576271105"/>
          <c:y val="5.4329643453659197E-2"/>
          <c:w val="0.13029661016949182"/>
          <c:h val="0.26146057026962594"/>
        </c:manualLayout>
      </c:layout>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zh-TW"/>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zh-TW"/>
    </a:p>
  </c:txPr>
  <c:printSettings>
    <c:headerFooter alignWithMargins="0">
      <c:oddHeader>&amp;A</c:oddHeader>
      <c:oddFooter>Page &amp;P</c:oddFooter>
    </c:headerFooter>
    <c:pageMargins b="1" l="0.75000000000000078" r="0.75000000000000078"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zh-TW"/>
  <c:chart>
    <c:plotArea>
      <c:layout>
        <c:manualLayout>
          <c:layoutTarget val="inner"/>
          <c:xMode val="edge"/>
          <c:yMode val="edge"/>
          <c:x val="0.14141442040408087"/>
          <c:y val="7.492795389048991E-2"/>
          <c:w val="0.54747582756436963"/>
          <c:h val="0.79538904899135376"/>
        </c:manualLayout>
      </c:layout>
      <c:scatterChart>
        <c:scatterStyle val="smoothMarker"/>
        <c:ser>
          <c:idx val="1"/>
          <c:order val="0"/>
          <c:tx>
            <c:v>VID3 Loadline</c:v>
          </c:tx>
          <c:spPr>
            <a:ln w="12700">
              <a:solidFill>
                <a:srgbClr val="000080"/>
              </a:solidFill>
              <a:prstDash val="solid"/>
            </a:ln>
          </c:spPr>
          <c:marker>
            <c:symbol val="square"/>
            <c:size val="5"/>
            <c:spPr>
              <a:solidFill>
                <a:srgbClr val="000080"/>
              </a:solidFill>
              <a:ln>
                <a:solidFill>
                  <a:srgbClr val="000080"/>
                </a:solidFill>
                <a:prstDash val="solid"/>
              </a:ln>
            </c:spPr>
          </c:marker>
          <c:xVal>
            <c:numRef>
              <c:f>'Static LL'!$M$99:$M$109</c:f>
              <c:numCache>
                <c:formatCode>0</c:formatCode>
                <c:ptCount val="11"/>
                <c:pt idx="0">
                  <c:v>0</c:v>
                </c:pt>
                <c:pt idx="1">
                  <c:v>2</c:v>
                </c:pt>
              </c:numCache>
            </c:numRef>
          </c:xVal>
          <c:yVal>
            <c:numRef>
              <c:f>'Static LL'!$N$99:$N$109</c:f>
              <c:numCache>
                <c:formatCode>0.0000_ </c:formatCode>
                <c:ptCount val="11"/>
                <c:pt idx="0">
                  <c:v>0.30070000000000002</c:v>
                </c:pt>
                <c:pt idx="1">
                  <c:v>0.29780000000000001</c:v>
                </c:pt>
              </c:numCache>
            </c:numRef>
          </c:yVal>
          <c:smooth val="1"/>
          <c:extLst xmlns:c16r2="http://schemas.microsoft.com/office/drawing/2015/06/chart">
            <c:ext xmlns:c16="http://schemas.microsoft.com/office/drawing/2014/chart" uri="{C3380CC4-5D6E-409C-BE32-E72D297353CC}">
              <c16:uniqueId val="{00000000-B52D-4542-B461-CA397E84399A}"/>
            </c:ext>
          </c:extLst>
        </c:ser>
        <c:ser>
          <c:idx val="2"/>
          <c:order val="1"/>
          <c:tx>
            <c:v>Min V @ I_Min</c:v>
          </c:tx>
          <c:spPr>
            <a:ln w="38100">
              <a:solidFill>
                <a:srgbClr val="FF0000"/>
              </a:solidFill>
              <a:prstDash val="solid"/>
            </a:ln>
          </c:spPr>
          <c:marker>
            <c:symbol val="dash"/>
            <c:size val="7"/>
            <c:spPr>
              <a:solidFill>
                <a:srgbClr val="FF0000"/>
              </a:solidFill>
              <a:ln>
                <a:solidFill>
                  <a:srgbClr val="FF0000"/>
                </a:solidFill>
                <a:prstDash val="solid"/>
              </a:ln>
            </c:spPr>
          </c:marker>
          <c:xVal>
            <c:numRef>
              <c:f>'Static LL'!$M$99</c:f>
              <c:numCache>
                <c:formatCode>0</c:formatCode>
                <c:ptCount val="1"/>
                <c:pt idx="0">
                  <c:v>0</c:v>
                </c:pt>
              </c:numCache>
            </c:numRef>
          </c:xVal>
          <c:yVal>
            <c:numRef>
              <c:f>'Static LL'!$AQ$99</c:f>
              <c:numCache>
                <c:formatCode>General</c:formatCode>
                <c:ptCount val="1"/>
                <c:pt idx="0">
                  <c:v>0.29499999999999998</c:v>
                </c:pt>
              </c:numCache>
            </c:numRef>
          </c:yVal>
          <c:smooth val="1"/>
          <c:extLst xmlns:c16r2="http://schemas.microsoft.com/office/drawing/2015/06/chart">
            <c:ext xmlns:c16="http://schemas.microsoft.com/office/drawing/2014/chart" uri="{C3380CC4-5D6E-409C-BE32-E72D297353CC}">
              <c16:uniqueId val="{00000001-B52D-4542-B461-CA397E84399A}"/>
            </c:ext>
          </c:extLst>
        </c:ser>
        <c:ser>
          <c:idx val="3"/>
          <c:order val="2"/>
          <c:tx>
            <c:v>Max V @ I_Min</c:v>
          </c:tx>
          <c:spPr>
            <a:ln w="38100">
              <a:solidFill>
                <a:srgbClr val="FF0000"/>
              </a:solidFill>
              <a:prstDash val="solid"/>
            </a:ln>
          </c:spPr>
          <c:marker>
            <c:symbol val="dash"/>
            <c:size val="7"/>
            <c:spPr>
              <a:solidFill>
                <a:srgbClr val="FF0000"/>
              </a:solidFill>
              <a:ln>
                <a:solidFill>
                  <a:srgbClr val="FF0000"/>
                </a:solidFill>
                <a:prstDash val="solid"/>
              </a:ln>
            </c:spPr>
          </c:marker>
          <c:xVal>
            <c:numRef>
              <c:f>'Static LL'!$M$99</c:f>
              <c:numCache>
                <c:formatCode>0</c:formatCode>
                <c:ptCount val="1"/>
                <c:pt idx="0">
                  <c:v>0</c:v>
                </c:pt>
              </c:numCache>
            </c:numRef>
          </c:xVal>
          <c:yVal>
            <c:numRef>
              <c:f>'Static LL'!$AQ$100</c:f>
              <c:numCache>
                <c:formatCode>General</c:formatCode>
                <c:ptCount val="1"/>
                <c:pt idx="0">
                  <c:v>0.315</c:v>
                </c:pt>
              </c:numCache>
            </c:numRef>
          </c:yVal>
          <c:smooth val="1"/>
          <c:extLst xmlns:c16r2="http://schemas.microsoft.com/office/drawing/2015/06/chart">
            <c:ext xmlns:c16="http://schemas.microsoft.com/office/drawing/2014/chart" uri="{C3380CC4-5D6E-409C-BE32-E72D297353CC}">
              <c16:uniqueId val="{00000002-B52D-4542-B461-CA397E84399A}"/>
            </c:ext>
          </c:extLst>
        </c:ser>
        <c:axId val="96513408"/>
        <c:axId val="96519680"/>
      </c:scatterChart>
      <c:valAx>
        <c:axId val="96513408"/>
        <c:scaling>
          <c:orientation val="minMax"/>
          <c:max val="1"/>
        </c:scaling>
        <c:axPos val="b"/>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519680"/>
        <c:crosses val="autoZero"/>
        <c:crossBetween val="midCat"/>
        <c:majorUnit val="0.5"/>
      </c:valAx>
      <c:valAx>
        <c:axId val="96519680"/>
        <c:scaling>
          <c:orientation val="minMax"/>
        </c:scaling>
        <c:axPos val="l"/>
        <c:numFmt formatCode="0.0000_ "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513408"/>
        <c:crossesAt val="0"/>
        <c:crossBetween val="midCat"/>
      </c:valAx>
      <c:spPr>
        <a:solidFill>
          <a:srgbClr val="C0C0C0"/>
        </a:solidFill>
        <a:ln w="12700">
          <a:solidFill>
            <a:srgbClr val="808080"/>
          </a:solidFill>
          <a:prstDash val="solid"/>
        </a:ln>
      </c:spPr>
    </c:plotArea>
    <c:legend>
      <c:legendPos val="r"/>
      <c:layout>
        <c:manualLayout>
          <c:xMode val="edge"/>
          <c:yMode val="edge"/>
          <c:x val="0.72135859255216861"/>
          <c:y val="0.31972908148386253"/>
          <c:w val="0.25884035535162081"/>
          <c:h val="0.29705334452241089"/>
        </c:manualLayout>
      </c:layout>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zh-TW"/>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zh-TW"/>
    </a:p>
  </c:txPr>
  <c:printSettings>
    <c:headerFooter alignWithMargins="0">
      <c:oddHeader>&amp;A</c:oddHeader>
      <c:oddFooter>Page &amp;P</c:oddFooter>
    </c:headerFooter>
    <c:pageMargins b="1" l="0.75000000000000078" r="0.75000000000000078"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zh-TW"/>
  <c:chart>
    <c:plotArea>
      <c:layout>
        <c:manualLayout>
          <c:layoutTarget val="inner"/>
          <c:xMode val="edge"/>
          <c:yMode val="edge"/>
          <c:x val="0.10040160642570282"/>
          <c:y val="3.0107577754497451E-2"/>
          <c:w val="0.79216867469879604"/>
          <c:h val="0.87096774193548387"/>
        </c:manualLayout>
      </c:layout>
      <c:lineChart>
        <c:grouping val="standard"/>
        <c:ser>
          <c:idx val="1"/>
          <c:order val="0"/>
          <c:tx>
            <c:v>VID3 Loadline</c:v>
          </c:tx>
          <c:spPr>
            <a:ln w="12700">
              <a:solidFill>
                <a:srgbClr val="000080"/>
              </a:solidFill>
              <a:prstDash val="solid"/>
            </a:ln>
          </c:spPr>
          <c:marker>
            <c:symbol val="square"/>
            <c:size val="5"/>
            <c:spPr>
              <a:solidFill>
                <a:srgbClr val="000080"/>
              </a:solidFill>
              <a:ln>
                <a:solidFill>
                  <a:srgbClr val="000080"/>
                </a:solidFill>
                <a:prstDash val="solid"/>
              </a:ln>
            </c:spPr>
          </c:marker>
          <c:cat>
            <c:numRef>
              <c:f>'Static LL'!$M$70:$M$74</c:f>
              <c:numCache>
                <c:formatCode>0</c:formatCode>
                <c:ptCount val="5"/>
                <c:pt idx="0">
                  <c:v>0</c:v>
                </c:pt>
                <c:pt idx="1">
                  <c:v>2</c:v>
                </c:pt>
                <c:pt idx="2">
                  <c:v>3</c:v>
                </c:pt>
                <c:pt idx="3">
                  <c:v>4</c:v>
                </c:pt>
                <c:pt idx="4">
                  <c:v>5</c:v>
                </c:pt>
              </c:numCache>
            </c:numRef>
          </c:cat>
          <c:val>
            <c:numRef>
              <c:f>'Static LL'!$N$70:$N$74</c:f>
              <c:numCache>
                <c:formatCode>0.0000_ </c:formatCode>
                <c:ptCount val="5"/>
                <c:pt idx="0">
                  <c:v>0.60109999999999997</c:v>
                </c:pt>
                <c:pt idx="1">
                  <c:v>0.59850000000000003</c:v>
                </c:pt>
                <c:pt idx="2">
                  <c:v>0.59660000000000002</c:v>
                </c:pt>
                <c:pt idx="3">
                  <c:v>0.59470000000000001</c:v>
                </c:pt>
                <c:pt idx="4">
                  <c:v>0.59299999999999997</c:v>
                </c:pt>
              </c:numCache>
            </c:numRef>
          </c:val>
          <c:extLst xmlns:c16r2="http://schemas.microsoft.com/office/drawing/2015/06/chart">
            <c:ext xmlns:c16="http://schemas.microsoft.com/office/drawing/2014/chart" uri="{C3380CC4-5D6E-409C-BE32-E72D297353CC}">
              <c16:uniqueId val="{00000000-6805-4691-BA3F-9435FCED4ADB}"/>
            </c:ext>
          </c:extLst>
        </c:ser>
        <c:ser>
          <c:idx val="2"/>
          <c:order val="1"/>
          <c:tx>
            <c:v>Min V @ I_Min</c:v>
          </c:tx>
          <c:spPr>
            <a:ln w="38100">
              <a:solidFill>
                <a:srgbClr val="FF0000"/>
              </a:solidFill>
              <a:prstDash val="solid"/>
            </a:ln>
          </c:spPr>
          <c:marker>
            <c:symbol val="dash"/>
            <c:size val="7"/>
            <c:spPr>
              <a:solidFill>
                <a:srgbClr val="FF0000"/>
              </a:solidFill>
              <a:ln>
                <a:solidFill>
                  <a:srgbClr val="FF0000"/>
                </a:solidFill>
                <a:prstDash val="solid"/>
              </a:ln>
            </c:spPr>
          </c:marker>
          <c:cat>
            <c:numRef>
              <c:f>'Static LL'!$M$70</c:f>
              <c:numCache>
                <c:formatCode>0</c:formatCode>
                <c:ptCount val="1"/>
                <c:pt idx="0">
                  <c:v>0</c:v>
                </c:pt>
              </c:numCache>
            </c:numRef>
          </c:cat>
          <c:val>
            <c:numRef>
              <c:f>'Static LL'!$AQ$70</c:f>
              <c:numCache>
                <c:formatCode>General</c:formatCode>
                <c:ptCount val="1"/>
                <c:pt idx="0">
                  <c:v>0.59499999999999997</c:v>
                </c:pt>
              </c:numCache>
            </c:numRef>
          </c:val>
          <c:extLst xmlns:c16r2="http://schemas.microsoft.com/office/drawing/2015/06/chart">
            <c:ext xmlns:c16="http://schemas.microsoft.com/office/drawing/2014/chart" uri="{C3380CC4-5D6E-409C-BE32-E72D297353CC}">
              <c16:uniqueId val="{00000001-6805-4691-BA3F-9435FCED4ADB}"/>
            </c:ext>
          </c:extLst>
        </c:ser>
        <c:ser>
          <c:idx val="3"/>
          <c:order val="2"/>
          <c:tx>
            <c:v>Max V @ I_Min</c:v>
          </c:tx>
          <c:spPr>
            <a:ln w="38100">
              <a:solidFill>
                <a:srgbClr val="FF0000"/>
              </a:solidFill>
              <a:prstDash val="solid"/>
            </a:ln>
          </c:spPr>
          <c:marker>
            <c:symbol val="dash"/>
            <c:size val="7"/>
            <c:spPr>
              <a:noFill/>
              <a:ln>
                <a:solidFill>
                  <a:srgbClr val="FF0000"/>
                </a:solidFill>
                <a:prstDash val="solid"/>
              </a:ln>
            </c:spPr>
          </c:marker>
          <c:cat>
            <c:numRef>
              <c:f>'Static LL'!$M$70</c:f>
              <c:numCache>
                <c:formatCode>0</c:formatCode>
                <c:ptCount val="1"/>
                <c:pt idx="0">
                  <c:v>0</c:v>
                </c:pt>
              </c:numCache>
            </c:numRef>
          </c:cat>
          <c:val>
            <c:numRef>
              <c:f>'Static LL'!$AQ$71</c:f>
              <c:numCache>
                <c:formatCode>General</c:formatCode>
                <c:ptCount val="1"/>
                <c:pt idx="0">
                  <c:v>0.61499999999999999</c:v>
                </c:pt>
              </c:numCache>
            </c:numRef>
          </c:val>
          <c:extLst xmlns:c16r2="http://schemas.microsoft.com/office/drawing/2015/06/chart">
            <c:ext xmlns:c16="http://schemas.microsoft.com/office/drawing/2014/chart" uri="{C3380CC4-5D6E-409C-BE32-E72D297353CC}">
              <c16:uniqueId val="{00000002-6805-4691-BA3F-9435FCED4ADB}"/>
            </c:ext>
          </c:extLst>
        </c:ser>
        <c:ser>
          <c:idx val="6"/>
          <c:order val="4"/>
          <c:tx>
            <c:v>Ideal LL</c:v>
          </c:tx>
          <c:spPr>
            <a:ln w="25400">
              <a:solidFill>
                <a:srgbClr val="993366"/>
              </a:solidFill>
              <a:prstDash val="solid"/>
            </a:ln>
          </c:spPr>
          <c:marker>
            <c:symbol val="none"/>
          </c:marker>
          <c:val>
            <c:numRef>
              <c:f>'Static LL'!$E$70:$E$75</c:f>
              <c:numCache>
                <c:formatCode>0.0000</c:formatCode>
                <c:ptCount val="6"/>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6805-4691-BA3F-9435FCED4ADB}"/>
            </c:ext>
          </c:extLst>
        </c:ser>
        <c:ser>
          <c:idx val="0"/>
          <c:order val="5"/>
          <c:tx>
            <c:strRef>
              <c:f>'Static LL'!$C$69</c:f>
              <c:strCache>
                <c:ptCount val="1"/>
                <c:pt idx="0">
                  <c:v>Min LL Slope</c:v>
                </c:pt>
              </c:strCache>
            </c:strRef>
          </c:tx>
          <c:spPr>
            <a:ln>
              <a:solidFill>
                <a:srgbClr val="00B050"/>
              </a:solidFill>
            </a:ln>
          </c:spPr>
          <c:marker>
            <c:symbol val="none"/>
          </c:marker>
          <c:val>
            <c:numRef>
              <c:f>'Static LL'!$C$70:$C$74</c:f>
              <c:numCache>
                <c:formatCode>0.0000_ </c:formatCode>
                <c:ptCount val="5"/>
                <c:pt idx="0" formatCode="0.0000">
                  <c:v>0.60109999999999997</c:v>
                </c:pt>
                <c:pt idx="1">
                  <c:v>0.60750000000000004</c:v>
                </c:pt>
                <c:pt idx="2">
                  <c:v>0.61070000000000002</c:v>
                </c:pt>
                <c:pt idx="3">
                  <c:v>0.6139</c:v>
                </c:pt>
                <c:pt idx="4">
                  <c:v>0.61710000000000009</c:v>
                </c:pt>
              </c:numCache>
            </c:numRef>
          </c:val>
          <c:extLst xmlns:c16r2="http://schemas.microsoft.com/office/drawing/2015/06/chart">
            <c:ext xmlns:c16="http://schemas.microsoft.com/office/drawing/2014/chart" uri="{C3380CC4-5D6E-409C-BE32-E72D297353CC}">
              <c16:uniqueId val="{00000004-6805-4691-BA3F-9435FCED4ADB}"/>
            </c:ext>
          </c:extLst>
        </c:ser>
        <c:ser>
          <c:idx val="4"/>
          <c:order val="6"/>
          <c:tx>
            <c:strRef>
              <c:f>'Static LL'!$D$69</c:f>
              <c:strCache>
                <c:ptCount val="1"/>
                <c:pt idx="0">
                  <c:v>Max LL Slope</c:v>
                </c:pt>
              </c:strCache>
            </c:strRef>
          </c:tx>
          <c:spPr>
            <a:ln>
              <a:solidFill>
                <a:srgbClr val="00B050"/>
              </a:solidFill>
            </a:ln>
          </c:spPr>
          <c:marker>
            <c:symbol val="none"/>
          </c:marker>
          <c:val>
            <c:numRef>
              <c:f>'Static LL'!$D$70:$D$74</c:f>
              <c:numCache>
                <c:formatCode>0.0000_ </c:formatCode>
                <c:ptCount val="5"/>
                <c:pt idx="0" formatCode="0.0000">
                  <c:v>0.60109999999999997</c:v>
                </c:pt>
                <c:pt idx="1">
                  <c:v>0.58750000000000002</c:v>
                </c:pt>
                <c:pt idx="2">
                  <c:v>0.58069999999999999</c:v>
                </c:pt>
                <c:pt idx="3">
                  <c:v>0.57389999999999997</c:v>
                </c:pt>
                <c:pt idx="4">
                  <c:v>0.56710000000000005</c:v>
                </c:pt>
              </c:numCache>
            </c:numRef>
          </c:val>
          <c:extLst xmlns:c16r2="http://schemas.microsoft.com/office/drawing/2015/06/chart">
            <c:ext xmlns:c16="http://schemas.microsoft.com/office/drawing/2014/chart" uri="{C3380CC4-5D6E-409C-BE32-E72D297353CC}">
              <c16:uniqueId val="{00000005-6805-4691-BA3F-9435FCED4ADB}"/>
            </c:ext>
          </c:extLst>
        </c:ser>
        <c:marker val="1"/>
        <c:axId val="96646272"/>
        <c:axId val="96648192"/>
      </c:lineChart>
      <c:lineChart>
        <c:grouping val="standard"/>
        <c:ser>
          <c:idx val="5"/>
          <c:order val="3"/>
          <c:tx>
            <c:v>Efficiency</c:v>
          </c:tx>
          <c:spPr>
            <a:ln w="12700">
              <a:solidFill>
                <a:srgbClr val="00FFFF"/>
              </a:solidFill>
              <a:prstDash val="solid"/>
            </a:ln>
          </c:spPr>
          <c:marker>
            <c:symbol val="x"/>
            <c:size val="5"/>
            <c:spPr>
              <a:noFill/>
              <a:ln>
                <a:solidFill>
                  <a:srgbClr val="00FFFF"/>
                </a:solidFill>
                <a:prstDash val="solid"/>
              </a:ln>
            </c:spPr>
          </c:marker>
          <c:val>
            <c:numRef>
              <c:f>'Static LL'!$V$70:$V$74</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6-6805-4691-BA3F-9435FCED4ADB}"/>
            </c:ext>
          </c:extLst>
        </c:ser>
        <c:marker val="1"/>
        <c:axId val="96658176"/>
        <c:axId val="96659712"/>
      </c:lineChart>
      <c:catAx>
        <c:axId val="96646272"/>
        <c:scaling>
          <c:orientation val="minMax"/>
        </c:scaling>
        <c:axPos val="b"/>
        <c:numFmt formatCode="0"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648192"/>
        <c:crosses val="autoZero"/>
        <c:lblAlgn val="ctr"/>
        <c:lblOffset val="100"/>
        <c:tickLblSkip val="1"/>
        <c:tickMarkSkip val="1"/>
      </c:catAx>
      <c:valAx>
        <c:axId val="96648192"/>
        <c:scaling>
          <c:orientation val="minMax"/>
          <c:min val="0.5"/>
        </c:scaling>
        <c:axPos val="l"/>
        <c:numFmt formatCode="0.0000_ "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646272"/>
        <c:crosses val="autoZero"/>
        <c:crossBetween val="between"/>
      </c:valAx>
      <c:catAx>
        <c:axId val="96658176"/>
        <c:scaling>
          <c:orientation val="minMax"/>
        </c:scaling>
        <c:delete val="1"/>
        <c:axPos val="b"/>
        <c:tickLblPos val="none"/>
        <c:crossAx val="96659712"/>
        <c:crosses val="autoZero"/>
        <c:lblAlgn val="ctr"/>
        <c:lblOffset val="100"/>
      </c:catAx>
      <c:valAx>
        <c:axId val="96659712"/>
        <c:scaling>
          <c:orientation val="minMax"/>
        </c:scaling>
        <c:axPos val="r"/>
        <c:numFmt formatCode="0.0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zh-TW"/>
          </a:p>
        </c:txPr>
        <c:crossAx val="96658176"/>
        <c:crosses val="max"/>
        <c:crossBetween val="between"/>
      </c:valAx>
      <c:spPr>
        <a:solidFill>
          <a:srgbClr val="C0C0C0"/>
        </a:solidFill>
        <a:ln w="12700">
          <a:solidFill>
            <a:srgbClr val="808080"/>
          </a:solidFill>
          <a:prstDash val="solid"/>
        </a:ln>
      </c:spPr>
    </c:plotArea>
    <c:legend>
      <c:legendPos val="r"/>
      <c:layout>
        <c:manualLayout>
          <c:xMode val="edge"/>
          <c:yMode val="edge"/>
          <c:x val="0.6926773859149955"/>
          <c:y val="6.1295971978984232E-2"/>
          <c:w val="0.14765906362545023"/>
          <c:h val="0.26970250653869665"/>
        </c:manualLayout>
      </c:layout>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zh-TW"/>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zh-TW"/>
    </a:p>
  </c:txPr>
  <c:printSettings>
    <c:headerFooter alignWithMargins="0">
      <c:oddHeader>&amp;A</c:oddHeader>
      <c:oddFooter>Page &amp;P</c:oddFooter>
    </c:headerFooter>
    <c:pageMargins b="1" l="0.75000000000000078" r="0.75000000000000078"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zh-TW"/>
  <c:chart>
    <c:plotArea>
      <c:layout/>
      <c:scatterChart>
        <c:scatterStyle val="smoothMarker"/>
        <c:ser>
          <c:idx val="0"/>
          <c:order val="0"/>
          <c:tx>
            <c:v>Loadline</c:v>
          </c:tx>
          <c:spPr>
            <a:ln w="12700">
              <a:solidFill>
                <a:srgbClr val="000080"/>
              </a:solidFill>
              <a:prstDash val="solid"/>
            </a:ln>
          </c:spPr>
          <c:marker>
            <c:symbol val="diamond"/>
            <c:size val="5"/>
            <c:spPr>
              <a:solidFill>
                <a:srgbClr val="000080"/>
              </a:solidFill>
              <a:ln>
                <a:solidFill>
                  <a:srgbClr val="000080"/>
                </a:solidFill>
                <a:prstDash val="solid"/>
              </a:ln>
            </c:spPr>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LL'!$N$41:$N$51</c:f>
              <c:numCache>
                <c:formatCode>0.0000_ </c:formatCode>
                <c:ptCount val="11"/>
                <c:pt idx="0">
                  <c:v>0.60199999999999998</c:v>
                </c:pt>
                <c:pt idx="1">
                  <c:v>0.59840000000000004</c:v>
                </c:pt>
                <c:pt idx="2">
                  <c:v>0.59099999999999997</c:v>
                </c:pt>
                <c:pt idx="3">
                  <c:v>0.58389999999999997</c:v>
                </c:pt>
              </c:numCache>
            </c:numRef>
          </c:yVal>
          <c:smooth val="1"/>
          <c:extLst xmlns:c16r2="http://schemas.microsoft.com/office/drawing/2015/06/chart">
            <c:ext xmlns:c16="http://schemas.microsoft.com/office/drawing/2014/chart" uri="{C3380CC4-5D6E-409C-BE32-E72D297353CC}">
              <c16:uniqueId val="{00000000-B1E2-4589-AA4F-AC2A0141F944}"/>
            </c:ext>
          </c:extLst>
        </c:ser>
        <c:ser>
          <c:idx val="1"/>
          <c:order val="1"/>
          <c:tx>
            <c:v>Max LL Slope</c:v>
          </c:tx>
          <c:spPr>
            <a:ln w="12700">
              <a:solidFill>
                <a:srgbClr val="008000"/>
              </a:solidFill>
              <a:prstDash val="solid"/>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LL'!$D$41:$D$51</c:f>
              <c:numCache>
                <c:formatCode>0.0000_ </c:formatCode>
                <c:ptCount val="11"/>
                <c:pt idx="0" formatCode="0.0000">
                  <c:v>0.60199999999999998</c:v>
                </c:pt>
                <c:pt idx="1">
                  <c:v>0.59539999999999993</c:v>
                </c:pt>
                <c:pt idx="2">
                  <c:v>0.58219999999999994</c:v>
                </c:pt>
                <c:pt idx="3">
                  <c:v>0.56899999999999995</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1-B1E2-4589-AA4F-AC2A0141F944}"/>
            </c:ext>
          </c:extLst>
        </c:ser>
        <c:ser>
          <c:idx val="2"/>
          <c:order val="2"/>
          <c:tx>
            <c:v>Min LL Slope</c:v>
          </c:tx>
          <c:spPr>
            <a:ln w="12700">
              <a:pattFill prst="pct75">
                <a:fgClr>
                  <a:srgbClr val="008000"/>
                </a:fgClr>
                <a:bgClr>
                  <a:srgbClr val="FFFFFF"/>
                </a:bgClr>
              </a:pattFill>
              <a:prstDash val="solid"/>
            </a:ln>
          </c:spPr>
          <c:marker>
            <c:symbol val="none"/>
          </c:marker>
          <c:xVal>
            <c:numRef>
              <c:f>'Static LL'!$M$41:$M$51</c:f>
              <c:numCache>
                <c:formatCode>0</c:formatCode>
                <c:ptCount val="11"/>
                <c:pt idx="0">
                  <c:v>0</c:v>
                </c:pt>
                <c:pt idx="1">
                  <c:v>2</c:v>
                </c:pt>
                <c:pt idx="2">
                  <c:v>6</c:v>
                </c:pt>
                <c:pt idx="3">
                  <c:v>10</c:v>
                </c:pt>
                <c:pt idx="4">
                  <c:v>#N/A</c:v>
                </c:pt>
                <c:pt idx="5">
                  <c:v>#N/A</c:v>
                </c:pt>
                <c:pt idx="6">
                  <c:v>#N/A</c:v>
                </c:pt>
                <c:pt idx="7">
                  <c:v>#N/A</c:v>
                </c:pt>
                <c:pt idx="8">
                  <c:v>#N/A</c:v>
                </c:pt>
                <c:pt idx="9">
                  <c:v>#N/A</c:v>
                </c:pt>
                <c:pt idx="10">
                  <c:v>#N/A</c:v>
                </c:pt>
              </c:numCache>
            </c:numRef>
          </c:xVal>
          <c:yVal>
            <c:numRef>
              <c:f>'Static LL'!$C$41:$C$51</c:f>
              <c:numCache>
                <c:formatCode>0.0000_ </c:formatCode>
                <c:ptCount val="11"/>
                <c:pt idx="0" formatCode="0.0000">
                  <c:v>0.60199999999999998</c:v>
                </c:pt>
                <c:pt idx="1">
                  <c:v>0.60139999999999993</c:v>
                </c:pt>
                <c:pt idx="2">
                  <c:v>0.60019999999999996</c:v>
                </c:pt>
                <c:pt idx="3">
                  <c:v>0.59899999999999998</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2-B1E2-4589-AA4F-AC2A0141F944}"/>
            </c:ext>
          </c:extLst>
        </c:ser>
        <c:axId val="96579968"/>
        <c:axId val="96581888"/>
      </c:scatterChart>
      <c:valAx>
        <c:axId val="96579968"/>
        <c:scaling>
          <c:orientation val="minMax"/>
        </c:scaling>
        <c:axPos val="b"/>
        <c:title>
          <c:tx>
            <c:rich>
              <a:bodyPr/>
              <a:lstStyle/>
              <a:p>
                <a:pPr>
                  <a:defRPr sz="175" b="1" i="0" u="none" strike="noStrike" baseline="0">
                    <a:solidFill>
                      <a:srgbClr val="000000"/>
                    </a:solidFill>
                    <a:latin typeface="Arial"/>
                    <a:ea typeface="Arial"/>
                    <a:cs typeface="Arial"/>
                  </a:defRPr>
                </a:pPr>
                <a:r>
                  <a:rPr lang="en-US"/>
                  <a:t>Load Current in (A)</a:t>
                </a:r>
              </a:p>
            </c:rich>
          </c:tx>
          <c:layout/>
          <c:spPr>
            <a:noFill/>
            <a:ln w="25400">
              <a:noFill/>
            </a:ln>
          </c:spPr>
        </c:title>
        <c:numFmt formatCode="0" sourceLinked="1"/>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zh-TW"/>
          </a:p>
        </c:txPr>
        <c:crossAx val="96581888"/>
        <c:crosses val="autoZero"/>
        <c:crossBetween val="midCat"/>
      </c:valAx>
      <c:valAx>
        <c:axId val="96581888"/>
        <c:scaling>
          <c:orientation val="minMax"/>
          <c:max val="0.76000000000000079"/>
          <c:min val="0.4"/>
        </c:scaling>
        <c:axPos val="l"/>
        <c:majorGridlines>
          <c:spPr>
            <a:ln w="3175">
              <a:solidFill>
                <a:srgbClr val="000000"/>
              </a:solidFill>
              <a:prstDash val="solid"/>
            </a:ln>
          </c:spPr>
        </c:majorGridlines>
        <c:title>
          <c:tx>
            <c:rich>
              <a:bodyPr/>
              <a:lstStyle/>
              <a:p>
                <a:pPr>
                  <a:defRPr sz="175" b="1" i="0" u="none" strike="noStrike" baseline="0">
                    <a:solidFill>
                      <a:srgbClr val="000000"/>
                    </a:solidFill>
                    <a:latin typeface="Arial"/>
                    <a:ea typeface="Arial"/>
                    <a:cs typeface="Arial"/>
                  </a:defRPr>
                </a:pPr>
                <a:r>
                  <a:rPr lang="en-US"/>
                  <a:t>Output Voltage in (V)</a:t>
                </a:r>
              </a:p>
            </c:rich>
          </c:tx>
          <c:layout/>
          <c:spPr>
            <a:noFill/>
            <a:ln w="25400">
              <a:noFill/>
            </a:ln>
          </c:spPr>
        </c:title>
        <c:numFmt formatCode="0.0000_ " sourceLinked="1"/>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zh-TW"/>
          </a:p>
        </c:txPr>
        <c:crossAx val="96579968"/>
        <c:crosses val="autoZero"/>
        <c:crossBetween val="midCat"/>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10" b="0" i="0" u="none" strike="noStrike" baseline="0">
              <a:solidFill>
                <a:srgbClr val="000000"/>
              </a:solidFill>
              <a:latin typeface="Arial"/>
              <a:ea typeface="Arial"/>
              <a:cs typeface="Arial"/>
            </a:defRPr>
          </a:pPr>
          <a:endParaRPr lang="zh-TW"/>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zh-TW"/>
    </a:p>
  </c:txPr>
  <c:printSettings>
    <c:headerFooter alignWithMargins="0"/>
    <c:pageMargins b="1" l="0.75000000000000078" r="0.7500000000000007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PS0 IOUT Actual and Ideal Data</a:t>
            </a:r>
          </a:p>
        </c:rich>
      </c:tx>
      <c:layout/>
      <c:overlay val="1"/>
    </c:title>
    <c:plotArea>
      <c:layout>
        <c:manualLayout>
          <c:layoutTarget val="inner"/>
          <c:xMode val="edge"/>
          <c:yMode val="edge"/>
          <c:x val="0.10149042678432667"/>
          <c:y val="0.13127155444242244"/>
          <c:w val="0.87506317225052765"/>
          <c:h val="0.77726325399256468"/>
        </c:manualLayout>
      </c:layout>
      <c:scatterChart>
        <c:scatterStyle val="smoothMarker"/>
        <c:ser>
          <c:idx val="3"/>
          <c:order val="0"/>
          <c:tx>
            <c:strRef>
              <c:f>'IOUT Calcs'!$R$22</c:f>
              <c:strCache>
                <c:ptCount val="1"/>
                <c:pt idx="0">
                  <c:v>- Limit</c:v>
                </c:pt>
              </c:strCache>
            </c:strRef>
          </c:tx>
          <c:spPr>
            <a:ln>
              <a:solidFill>
                <a:srgbClr val="00B050"/>
              </a:solidFill>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Calcs'!$R$23:$R$33</c:f>
              <c:numCache>
                <c:formatCode>0.00</c:formatCode>
                <c:ptCount val="11"/>
                <c:pt idx="0">
                  <c:v>#N/A</c:v>
                </c:pt>
                <c:pt idx="1">
                  <c:v>5.04</c:v>
                </c:pt>
                <c:pt idx="2">
                  <c:v>9.0399999999999991</c:v>
                </c:pt>
                <c:pt idx="3">
                  <c:v>12.992000000000001</c:v>
                </c:pt>
                <c:pt idx="4">
                  <c:v>16.704000000000001</c:v>
                </c:pt>
                <c:pt idx="5">
                  <c:v>21.459</c:v>
                </c:pt>
                <c:pt idx="6">
                  <c:v>26.18</c:v>
                </c:pt>
                <c:pt idx="7">
                  <c:v>30.855</c:v>
                </c:pt>
                <c:pt idx="8">
                  <c:v>35.567999999999998</c:v>
                </c:pt>
                <c:pt idx="9">
                  <c:v>40.290999999999997</c:v>
                </c:pt>
                <c:pt idx="10">
                  <c:v>44.975999999999999</c:v>
                </c:pt>
              </c:numCache>
            </c:numRef>
          </c:yVal>
          <c:smooth val="1"/>
          <c:extLst xmlns:c16r2="http://schemas.microsoft.com/office/drawing/2015/06/chart">
            <c:ext xmlns:c16="http://schemas.microsoft.com/office/drawing/2014/chart" uri="{C3380CC4-5D6E-409C-BE32-E72D297353CC}">
              <c16:uniqueId val="{00000000-082E-485D-8FD1-3A80523EABF8}"/>
            </c:ext>
          </c:extLst>
        </c:ser>
        <c:ser>
          <c:idx val="4"/>
          <c:order val="1"/>
          <c:tx>
            <c:strRef>
              <c:f>'IOUT Calcs'!$S$22</c:f>
              <c:strCache>
                <c:ptCount val="1"/>
                <c:pt idx="0">
                  <c:v>+ Limit</c:v>
                </c:pt>
              </c:strCache>
            </c:strRef>
          </c:tx>
          <c:spPr>
            <a:ln>
              <a:solidFill>
                <a:srgbClr val="00B050"/>
              </a:solidFill>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Calcs'!$S$23:$S$33</c:f>
              <c:numCache>
                <c:formatCode>0.00</c:formatCode>
                <c:ptCount val="11"/>
                <c:pt idx="0">
                  <c:v>#N/A</c:v>
                </c:pt>
                <c:pt idx="1">
                  <c:v>6.96</c:v>
                </c:pt>
                <c:pt idx="2">
                  <c:v>10.96</c:v>
                </c:pt>
                <c:pt idx="3">
                  <c:v>15.007999999999999</c:v>
                </c:pt>
                <c:pt idx="4">
                  <c:v>19.295999999999999</c:v>
                </c:pt>
                <c:pt idx="5">
                  <c:v>24.541</c:v>
                </c:pt>
                <c:pt idx="6">
                  <c:v>29.82</c:v>
                </c:pt>
                <c:pt idx="7">
                  <c:v>35.145000000000003</c:v>
                </c:pt>
                <c:pt idx="8">
                  <c:v>40.432000000000002</c:v>
                </c:pt>
                <c:pt idx="9">
                  <c:v>45.709000000000003</c:v>
                </c:pt>
                <c:pt idx="10">
                  <c:v>51.024000000000001</c:v>
                </c:pt>
              </c:numCache>
            </c:numRef>
          </c:yVal>
          <c:smooth val="1"/>
          <c:extLst xmlns:c16r2="http://schemas.microsoft.com/office/drawing/2015/06/chart">
            <c:ext xmlns:c16="http://schemas.microsoft.com/office/drawing/2014/chart" uri="{C3380CC4-5D6E-409C-BE32-E72D297353CC}">
              <c16:uniqueId val="{00000001-082E-485D-8FD1-3A80523EABF8}"/>
            </c:ext>
          </c:extLst>
        </c:ser>
        <c:ser>
          <c:idx val="2"/>
          <c:order val="2"/>
          <c:tx>
            <c:v>Ideal IOUT Data</c:v>
          </c:tx>
          <c:spPr>
            <a:ln>
              <a:solidFill>
                <a:schemeClr val="tx1">
                  <a:lumMod val="50000"/>
                  <a:lumOff val="50000"/>
                </a:schemeClr>
              </a:solidFill>
              <a:prstDash val="sysDot"/>
            </a:ln>
          </c:spPr>
          <c:marker>
            <c:symbol val="none"/>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yVal>
          <c:smooth val="1"/>
          <c:extLst xmlns:c16r2="http://schemas.microsoft.com/office/drawing/2015/06/chart">
            <c:ext xmlns:c16="http://schemas.microsoft.com/office/drawing/2014/chart" uri="{C3380CC4-5D6E-409C-BE32-E72D297353CC}">
              <c16:uniqueId val="{00000002-082E-485D-8FD1-3A80523EABF8}"/>
            </c:ext>
          </c:extLst>
        </c:ser>
        <c:ser>
          <c:idx val="5"/>
          <c:order val="3"/>
          <c:tx>
            <c:v>Measured IOUT</c:v>
          </c:tx>
          <c:spPr>
            <a:ln>
              <a:solidFill>
                <a:srgbClr val="0070C0"/>
              </a:solidFill>
            </a:ln>
          </c:spPr>
          <c:marker>
            <c:symbol val="diamond"/>
            <c:size val="5"/>
            <c:spPr>
              <a:solidFill>
                <a:schemeClr val="accent1"/>
              </a:solidFill>
              <a:ln>
                <a:solidFill>
                  <a:srgbClr val="0070C0"/>
                </a:solidFill>
              </a:ln>
            </c:spPr>
          </c:marker>
          <c:xVal>
            <c:numRef>
              <c:f>'IOUT Calcs'!$O$23:$O$33</c:f>
              <c:numCache>
                <c:formatCode>0.00</c:formatCode>
                <c:ptCount val="11"/>
                <c:pt idx="0">
                  <c:v>2</c:v>
                </c:pt>
                <c:pt idx="1">
                  <c:v>6</c:v>
                </c:pt>
                <c:pt idx="2">
                  <c:v>10</c:v>
                </c:pt>
                <c:pt idx="3">
                  <c:v>14</c:v>
                </c:pt>
                <c:pt idx="4">
                  <c:v>18</c:v>
                </c:pt>
                <c:pt idx="5">
                  <c:v>23</c:v>
                </c:pt>
                <c:pt idx="6">
                  <c:v>28</c:v>
                </c:pt>
                <c:pt idx="7">
                  <c:v>33</c:v>
                </c:pt>
                <c:pt idx="8">
                  <c:v>38</c:v>
                </c:pt>
                <c:pt idx="9">
                  <c:v>43</c:v>
                </c:pt>
                <c:pt idx="10">
                  <c:v>48</c:v>
                </c:pt>
              </c:numCache>
            </c:numRef>
          </c:xVal>
          <c:yVal>
            <c:numRef>
              <c:f>'IOUT Calcs'!$I$23:$I$33</c:f>
              <c:numCache>
                <c:formatCode>0.0</c:formatCode>
                <c:ptCount val="11"/>
                <c:pt idx="0">
                  <c:v>1.3725490196078431</c:v>
                </c:pt>
                <c:pt idx="1">
                  <c:v>5.4901960784313726</c:v>
                </c:pt>
                <c:pt idx="2">
                  <c:v>9.6078431372549034</c:v>
                </c:pt>
                <c:pt idx="3">
                  <c:v>13.725490196078432</c:v>
                </c:pt>
                <c:pt idx="4">
                  <c:v>17.843137254901961</c:v>
                </c:pt>
                <c:pt idx="5">
                  <c:v>23.058823529411768</c:v>
                </c:pt>
                <c:pt idx="6">
                  <c:v>28.274509803921571</c:v>
                </c:pt>
                <c:pt idx="7">
                  <c:v>33.490196078431374</c:v>
                </c:pt>
                <c:pt idx="8">
                  <c:v>38.431372549019613</c:v>
                </c:pt>
                <c:pt idx="9">
                  <c:v>43.647058823529413</c:v>
                </c:pt>
                <c:pt idx="10">
                  <c:v>48.86274509803922</c:v>
                </c:pt>
              </c:numCache>
            </c:numRef>
          </c:yVal>
          <c:smooth val="1"/>
          <c:extLst xmlns:c16r2="http://schemas.microsoft.com/office/drawing/2015/06/chart">
            <c:ext xmlns:c16="http://schemas.microsoft.com/office/drawing/2014/chart" uri="{C3380CC4-5D6E-409C-BE32-E72D297353CC}">
              <c16:uniqueId val="{00000003-082E-485D-8FD1-3A80523EABF8}"/>
            </c:ext>
          </c:extLst>
        </c:ser>
        <c:axId val="96724096"/>
        <c:axId val="96726400"/>
      </c:scatterChart>
      <c:valAx>
        <c:axId val="96724096"/>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layout/>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6726400"/>
        <c:crosses val="autoZero"/>
        <c:crossBetween val="midCat"/>
        <c:majorUnit val="10"/>
      </c:valAx>
      <c:valAx>
        <c:axId val="96726400"/>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IOUT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layout/>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6724096"/>
        <c:crosses val="autoZero"/>
        <c:crossBetween val="midCat"/>
        <c:majorUnit val="10"/>
      </c:valAx>
    </c:plotArea>
    <c:legend>
      <c:legendPos val="r"/>
      <c:layout>
        <c:manualLayout>
          <c:xMode val="edge"/>
          <c:yMode val="edge"/>
          <c:x val="0.12207527975584963"/>
          <c:y val="0.11330935251798555"/>
          <c:w val="0.23702963502909041"/>
          <c:h val="0.4370508317755249"/>
        </c:manualLayout>
      </c:layout>
      <c:txPr>
        <a:bodyPr/>
        <a:lstStyle/>
        <a:p>
          <a:pPr>
            <a:defRPr sz="101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PS1 IOUT Actual and Ideal Data</a:t>
            </a:r>
          </a:p>
        </c:rich>
      </c:tx>
      <c:layout/>
      <c:overlay val="1"/>
    </c:title>
    <c:plotArea>
      <c:layout>
        <c:manualLayout>
          <c:layoutTarget val="inner"/>
          <c:xMode val="edge"/>
          <c:yMode val="edge"/>
          <c:x val="9.5230532080925787E-2"/>
          <c:y val="9.0270478215344369E-2"/>
          <c:w val="0.88521588647572902"/>
          <c:h val="0.804311766470582"/>
        </c:manualLayout>
      </c:layout>
      <c:scatterChart>
        <c:scatterStyle val="smoothMarker"/>
        <c:ser>
          <c:idx val="3"/>
          <c:order val="0"/>
          <c:tx>
            <c:strRef>
              <c:f>'IOUT Calcs'!$R$42</c:f>
              <c:strCache>
                <c:ptCount val="1"/>
                <c:pt idx="0">
                  <c:v>- Limit</c:v>
                </c:pt>
              </c:strCache>
            </c:strRef>
          </c:tx>
          <c:spPr>
            <a:ln>
              <a:solidFill>
                <a:srgbClr val="00B050"/>
              </a:solidFill>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Calcs'!$R$43:$R$53</c:f>
              <c:numCache>
                <c:formatCode>0.00</c:formatCode>
                <c:ptCount val="11"/>
                <c:pt idx="0">
                  <c:v>0</c:v>
                </c:pt>
                <c:pt idx="1">
                  <c:v>3</c:v>
                </c:pt>
                <c:pt idx="2">
                  <c:v>8.3000000000000007</c:v>
                </c:pt>
                <c:pt idx="3">
                  <c:v>#N/A</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0-FAE0-42A9-8F1A-8033670AC23B}"/>
            </c:ext>
          </c:extLst>
        </c:ser>
        <c:ser>
          <c:idx val="4"/>
          <c:order val="1"/>
          <c:tx>
            <c:strRef>
              <c:f>'IOUT Calcs'!$S$42</c:f>
              <c:strCache>
                <c:ptCount val="1"/>
                <c:pt idx="0">
                  <c:v>+ Limit</c:v>
                </c:pt>
              </c:strCache>
            </c:strRef>
          </c:tx>
          <c:spPr>
            <a:ln>
              <a:solidFill>
                <a:srgbClr val="00B050"/>
              </a:solidFill>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Calcs'!$S$43:$S$53</c:f>
              <c:numCache>
                <c:formatCode>0.00</c:formatCode>
                <c:ptCount val="11"/>
                <c:pt idx="0">
                  <c:v>4</c:v>
                </c:pt>
                <c:pt idx="1">
                  <c:v>9</c:v>
                </c:pt>
                <c:pt idx="2">
                  <c:v>11.7</c:v>
                </c:pt>
                <c:pt idx="3">
                  <c:v>#N/A</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1-FAE0-42A9-8F1A-8033670AC23B}"/>
            </c:ext>
          </c:extLst>
        </c:ser>
        <c:ser>
          <c:idx val="0"/>
          <c:order val="2"/>
          <c:tx>
            <c:v>Measured IOUT</c:v>
          </c:tx>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Calcs'!$I$43:$I$53</c:f>
              <c:numCache>
                <c:formatCode>0.0</c:formatCode>
                <c:ptCount val="11"/>
                <c:pt idx="0">
                  <c:v>2.1960784313725492</c:v>
                </c:pt>
                <c:pt idx="1">
                  <c:v>6.5882352941176476</c:v>
                </c:pt>
                <c:pt idx="2">
                  <c:v>10.705882352941178</c:v>
                </c:pt>
                <c:pt idx="3">
                  <c:v>0</c:v>
                </c:pt>
                <c:pt idx="4">
                  <c:v>0</c:v>
                </c:pt>
                <c:pt idx="5">
                  <c:v>0</c:v>
                </c:pt>
                <c:pt idx="6">
                  <c:v>0</c:v>
                </c:pt>
                <c:pt idx="7">
                  <c:v>0</c:v>
                </c:pt>
                <c:pt idx="8">
                  <c:v>0</c:v>
                </c:pt>
                <c:pt idx="9">
                  <c:v>0</c:v>
                </c:pt>
                <c:pt idx="10">
                  <c:v>0</c:v>
                </c:pt>
              </c:numCache>
            </c:numRef>
          </c:yVal>
          <c:smooth val="1"/>
          <c:extLst xmlns:c16r2="http://schemas.microsoft.com/office/drawing/2015/06/chart">
            <c:ext xmlns:c16="http://schemas.microsoft.com/office/drawing/2014/chart" uri="{C3380CC4-5D6E-409C-BE32-E72D297353CC}">
              <c16:uniqueId val="{00000002-FAE0-42A9-8F1A-8033670AC23B}"/>
            </c:ext>
          </c:extLst>
        </c:ser>
        <c:ser>
          <c:idx val="2"/>
          <c:order val="3"/>
          <c:tx>
            <c:v>Ideal IOUT Data</c:v>
          </c:tx>
          <c:spPr>
            <a:ln>
              <a:solidFill>
                <a:schemeClr val="tx1">
                  <a:lumMod val="50000"/>
                  <a:lumOff val="50000"/>
                </a:schemeClr>
              </a:solidFill>
              <a:prstDash val="sysDot"/>
            </a:ln>
          </c:spPr>
          <c:marker>
            <c:symbol val="none"/>
          </c:marker>
          <c:x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xVal>
          <c:yVal>
            <c:numRef>
              <c:f>'IOUT Calcs'!$O$43:$O$53</c:f>
              <c:numCache>
                <c:formatCode>0.00</c:formatCode>
                <c:ptCount val="11"/>
                <c:pt idx="0">
                  <c:v>2</c:v>
                </c:pt>
                <c:pt idx="1">
                  <c:v>6</c:v>
                </c:pt>
                <c:pt idx="2">
                  <c:v>10</c:v>
                </c:pt>
                <c:pt idx="3">
                  <c:v>#N/A</c:v>
                </c:pt>
                <c:pt idx="4">
                  <c:v>#N/A</c:v>
                </c:pt>
                <c:pt idx="5">
                  <c:v>#N/A</c:v>
                </c:pt>
                <c:pt idx="6">
                  <c:v>#N/A</c:v>
                </c:pt>
                <c:pt idx="7">
                  <c:v>#N/A</c:v>
                </c:pt>
                <c:pt idx="8">
                  <c:v>#N/A</c:v>
                </c:pt>
                <c:pt idx="9">
                  <c:v>#N/A</c:v>
                </c:pt>
                <c:pt idx="10">
                  <c:v>#N/A</c:v>
                </c:pt>
              </c:numCache>
            </c:numRef>
          </c:yVal>
          <c:smooth val="1"/>
          <c:extLst xmlns:c16r2="http://schemas.microsoft.com/office/drawing/2015/06/chart">
            <c:ext xmlns:c16="http://schemas.microsoft.com/office/drawing/2014/chart" uri="{C3380CC4-5D6E-409C-BE32-E72D297353CC}">
              <c16:uniqueId val="{00000003-FAE0-42A9-8F1A-8033670AC23B}"/>
            </c:ext>
          </c:extLst>
        </c:ser>
        <c:axId val="97021312"/>
        <c:axId val="97048064"/>
      </c:scatterChart>
      <c:valAx>
        <c:axId val="97021312"/>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layout/>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7048064"/>
        <c:crosses val="autoZero"/>
        <c:crossBetween val="midCat"/>
        <c:majorUnit val="10"/>
      </c:valAx>
      <c:valAx>
        <c:axId val="97048064"/>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IOUT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layout/>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7021312"/>
        <c:crosses val="autoZero"/>
        <c:crossBetween val="midCat"/>
        <c:majorUnit val="10"/>
      </c:valAx>
    </c:plotArea>
    <c:legend>
      <c:legendPos val="r"/>
      <c:layout>
        <c:manualLayout>
          <c:xMode val="edge"/>
          <c:yMode val="edge"/>
          <c:x val="0.74218839710465878"/>
          <c:y val="0.10495086140548221"/>
          <c:w val="0.23632838131561684"/>
          <c:h val="0.41386216525565983"/>
        </c:manualLayout>
      </c:layout>
      <c:txPr>
        <a:bodyPr/>
        <a:lstStyle/>
        <a:p>
          <a:pPr>
            <a:defRPr sz="965"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zh-TW"/>
  <c:chart>
    <c:title>
      <c:tx>
        <c:rich>
          <a:bodyPr/>
          <a:lstStyle/>
          <a:p>
            <a:pPr>
              <a:defRPr sz="1800" b="1" i="0" u="none" strike="noStrike" baseline="0">
                <a:solidFill>
                  <a:srgbClr val="000000"/>
                </a:solidFill>
                <a:latin typeface="Calibri"/>
                <a:ea typeface="Calibri"/>
                <a:cs typeface="Calibri"/>
              </a:defRPr>
            </a:pPr>
            <a:r>
              <a:rPr lang="en-US"/>
              <a:t>PS2 IOUT Actual and Ideal Data</a:t>
            </a:r>
          </a:p>
        </c:rich>
      </c:tx>
      <c:layout/>
      <c:overlay val="1"/>
    </c:title>
    <c:plotArea>
      <c:layout>
        <c:manualLayout>
          <c:layoutTarget val="inner"/>
          <c:xMode val="edge"/>
          <c:yMode val="edge"/>
          <c:x val="8.7905462288912176E-2"/>
          <c:y val="8.6274984857662024E-2"/>
          <c:w val="0.88928490070816557"/>
          <c:h val="0.81041515964350663"/>
        </c:manualLayout>
      </c:layout>
      <c:scatterChart>
        <c:scatterStyle val="smoothMarker"/>
        <c:ser>
          <c:idx val="3"/>
          <c:order val="0"/>
          <c:tx>
            <c:strRef>
              <c:f>'IOUT Calcs'!$R$62</c:f>
              <c:strCache>
                <c:ptCount val="1"/>
                <c:pt idx="0">
                  <c:v>- Limit</c:v>
                </c:pt>
              </c:strCache>
            </c:strRef>
          </c:tx>
          <c:spPr>
            <a:ln>
              <a:solidFill>
                <a:srgbClr val="00B050"/>
              </a:solidFill>
            </a:ln>
          </c:spPr>
          <c:marker>
            <c:symbol val="none"/>
          </c:marker>
          <c:xVal>
            <c:numRef>
              <c:f>'IOUT Calcs'!$O$63:$O$67</c:f>
              <c:numCache>
                <c:formatCode>0.00</c:formatCode>
                <c:ptCount val="5"/>
                <c:pt idx="0">
                  <c:v>0</c:v>
                </c:pt>
                <c:pt idx="1">
                  <c:v>2</c:v>
                </c:pt>
                <c:pt idx="2">
                  <c:v>3</c:v>
                </c:pt>
                <c:pt idx="3">
                  <c:v>4</c:v>
                </c:pt>
                <c:pt idx="4">
                  <c:v>5</c:v>
                </c:pt>
              </c:numCache>
            </c:numRef>
          </c:xVal>
          <c:yVal>
            <c:numRef>
              <c:f>'IOUT Calcs'!$R$63:$R$67</c:f>
              <c:numCache>
                <c:formatCode>0.00</c:formatCode>
                <c:ptCount val="5"/>
                <c:pt idx="0">
                  <c:v>#N/A</c:v>
                </c:pt>
                <c:pt idx="1">
                  <c:v>0</c:v>
                </c:pt>
                <c:pt idx="2">
                  <c:v>0</c:v>
                </c:pt>
                <c:pt idx="3">
                  <c:v>0</c:v>
                </c:pt>
                <c:pt idx="4">
                  <c:v>0</c:v>
                </c:pt>
              </c:numCache>
            </c:numRef>
          </c:yVal>
          <c:smooth val="1"/>
          <c:extLst xmlns:c16r2="http://schemas.microsoft.com/office/drawing/2015/06/chart">
            <c:ext xmlns:c16="http://schemas.microsoft.com/office/drawing/2014/chart" uri="{C3380CC4-5D6E-409C-BE32-E72D297353CC}">
              <c16:uniqueId val="{00000000-5794-43D5-997C-CE71B9506864}"/>
            </c:ext>
          </c:extLst>
        </c:ser>
        <c:ser>
          <c:idx val="4"/>
          <c:order val="1"/>
          <c:tx>
            <c:strRef>
              <c:f>'IOUT Calcs'!$S$62</c:f>
              <c:strCache>
                <c:ptCount val="1"/>
                <c:pt idx="0">
                  <c:v>+ Limit</c:v>
                </c:pt>
              </c:strCache>
            </c:strRef>
          </c:tx>
          <c:spPr>
            <a:ln>
              <a:solidFill>
                <a:srgbClr val="00B050"/>
              </a:solidFill>
            </a:ln>
          </c:spPr>
          <c:marker>
            <c:symbol val="none"/>
          </c:marker>
          <c:xVal>
            <c:numRef>
              <c:f>'IOUT Calcs'!$O$63:$O$67</c:f>
              <c:numCache>
                <c:formatCode>0.00</c:formatCode>
                <c:ptCount val="5"/>
                <c:pt idx="0">
                  <c:v>0</c:v>
                </c:pt>
                <c:pt idx="1">
                  <c:v>2</c:v>
                </c:pt>
                <c:pt idx="2">
                  <c:v>3</c:v>
                </c:pt>
                <c:pt idx="3">
                  <c:v>4</c:v>
                </c:pt>
                <c:pt idx="4">
                  <c:v>5</c:v>
                </c:pt>
              </c:numCache>
            </c:numRef>
          </c:xVal>
          <c:yVal>
            <c:numRef>
              <c:f>'IOUT Calcs'!$S$63:$S$67</c:f>
              <c:numCache>
                <c:formatCode>0.00</c:formatCode>
                <c:ptCount val="5"/>
                <c:pt idx="0">
                  <c:v>#N/A</c:v>
                </c:pt>
                <c:pt idx="1">
                  <c:v>4</c:v>
                </c:pt>
                <c:pt idx="2">
                  <c:v>6</c:v>
                </c:pt>
                <c:pt idx="3">
                  <c:v>8</c:v>
                </c:pt>
                <c:pt idx="4">
                  <c:v>10</c:v>
                </c:pt>
              </c:numCache>
            </c:numRef>
          </c:yVal>
          <c:smooth val="1"/>
          <c:extLst xmlns:c16r2="http://schemas.microsoft.com/office/drawing/2015/06/chart">
            <c:ext xmlns:c16="http://schemas.microsoft.com/office/drawing/2014/chart" uri="{C3380CC4-5D6E-409C-BE32-E72D297353CC}">
              <c16:uniqueId val="{00000001-5794-43D5-997C-CE71B9506864}"/>
            </c:ext>
          </c:extLst>
        </c:ser>
        <c:ser>
          <c:idx val="0"/>
          <c:order val="2"/>
          <c:tx>
            <c:v>Measured IOUT</c:v>
          </c:tx>
          <c:xVal>
            <c:numRef>
              <c:f>'IOUT Calcs'!$O$63:$O$67</c:f>
              <c:numCache>
                <c:formatCode>0.00</c:formatCode>
                <c:ptCount val="5"/>
                <c:pt idx="0">
                  <c:v>0</c:v>
                </c:pt>
                <c:pt idx="1">
                  <c:v>2</c:v>
                </c:pt>
                <c:pt idx="2">
                  <c:v>3</c:v>
                </c:pt>
                <c:pt idx="3">
                  <c:v>4</c:v>
                </c:pt>
                <c:pt idx="4">
                  <c:v>5</c:v>
                </c:pt>
              </c:numCache>
            </c:numRef>
          </c:xVal>
          <c:yVal>
            <c:numRef>
              <c:f>'IOUT Calcs'!$I$63:$I$67</c:f>
              <c:numCache>
                <c:formatCode>0.0</c:formatCode>
                <c:ptCount val="5"/>
                <c:pt idx="0">
                  <c:v>0</c:v>
                </c:pt>
                <c:pt idx="1">
                  <c:v>2.1960784313725492</c:v>
                </c:pt>
                <c:pt idx="2">
                  <c:v>3.2941176470588238</c:v>
                </c:pt>
                <c:pt idx="3">
                  <c:v>4.3921568627450984</c:v>
                </c:pt>
                <c:pt idx="4">
                  <c:v>5.4901960784313726</c:v>
                </c:pt>
              </c:numCache>
            </c:numRef>
          </c:yVal>
          <c:smooth val="1"/>
          <c:extLst xmlns:c16r2="http://schemas.microsoft.com/office/drawing/2015/06/chart">
            <c:ext xmlns:c16="http://schemas.microsoft.com/office/drawing/2014/chart" uri="{C3380CC4-5D6E-409C-BE32-E72D297353CC}">
              <c16:uniqueId val="{00000002-5794-43D5-997C-CE71B9506864}"/>
            </c:ext>
          </c:extLst>
        </c:ser>
        <c:ser>
          <c:idx val="2"/>
          <c:order val="3"/>
          <c:tx>
            <c:v>Ideal IOUT Data</c:v>
          </c:tx>
          <c:spPr>
            <a:ln>
              <a:solidFill>
                <a:schemeClr val="tx1">
                  <a:lumMod val="50000"/>
                  <a:lumOff val="50000"/>
                </a:schemeClr>
              </a:solidFill>
              <a:prstDash val="sysDot"/>
            </a:ln>
          </c:spPr>
          <c:marker>
            <c:symbol val="none"/>
          </c:marker>
          <c:xVal>
            <c:numRef>
              <c:f>'IOUT Calcs'!$O$63:$O$67</c:f>
              <c:numCache>
                <c:formatCode>0.00</c:formatCode>
                <c:ptCount val="5"/>
                <c:pt idx="0">
                  <c:v>0</c:v>
                </c:pt>
                <c:pt idx="1">
                  <c:v>2</c:v>
                </c:pt>
                <c:pt idx="2">
                  <c:v>3</c:v>
                </c:pt>
                <c:pt idx="3">
                  <c:v>4</c:v>
                </c:pt>
                <c:pt idx="4">
                  <c:v>5</c:v>
                </c:pt>
              </c:numCache>
            </c:numRef>
          </c:xVal>
          <c:yVal>
            <c:numRef>
              <c:f>'IOUT Calcs'!$O$63:$O$67</c:f>
              <c:numCache>
                <c:formatCode>0.00</c:formatCode>
                <c:ptCount val="5"/>
                <c:pt idx="0">
                  <c:v>0</c:v>
                </c:pt>
                <c:pt idx="1">
                  <c:v>2</c:v>
                </c:pt>
                <c:pt idx="2">
                  <c:v>3</c:v>
                </c:pt>
                <c:pt idx="3">
                  <c:v>4</c:v>
                </c:pt>
                <c:pt idx="4">
                  <c:v>5</c:v>
                </c:pt>
              </c:numCache>
            </c:numRef>
          </c:yVal>
          <c:smooth val="1"/>
          <c:extLst xmlns:c16r2="http://schemas.microsoft.com/office/drawing/2015/06/chart">
            <c:ext xmlns:c16="http://schemas.microsoft.com/office/drawing/2014/chart" uri="{C3380CC4-5D6E-409C-BE32-E72D297353CC}">
              <c16:uniqueId val="{00000003-5794-43D5-997C-CE71B9506864}"/>
            </c:ext>
          </c:extLst>
        </c:ser>
        <c:axId val="97109504"/>
        <c:axId val="97111424"/>
      </c:scatterChart>
      <c:valAx>
        <c:axId val="97109504"/>
        <c:scaling>
          <c:orientation val="minMax"/>
        </c:scaling>
        <c:axPos val="b"/>
        <c:title>
          <c:tx>
            <c:rich>
              <a:bodyPr/>
              <a:lstStyle/>
              <a:p>
                <a:pPr>
                  <a:defRPr sz="1800" b="1" i="0" u="none" strike="noStrike" baseline="0">
                    <a:solidFill>
                      <a:srgbClr val="000000"/>
                    </a:solidFill>
                    <a:latin typeface="Calibri"/>
                    <a:ea typeface="Calibri"/>
                    <a:cs typeface="Calibri"/>
                  </a:defRPr>
                </a:pPr>
                <a:r>
                  <a:rPr lang="en-US"/>
                  <a:t>Load Current</a:t>
                </a:r>
              </a:p>
            </c:rich>
          </c:tx>
          <c:layout/>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7111424"/>
        <c:crosses val="autoZero"/>
        <c:crossBetween val="midCat"/>
      </c:valAx>
      <c:valAx>
        <c:axId val="97111424"/>
        <c:scaling>
          <c:orientation val="minMax"/>
        </c:scaling>
        <c:axPos val="l"/>
        <c:majorGridlines/>
        <c:title>
          <c:tx>
            <c:rich>
              <a:bodyPr/>
              <a:lstStyle/>
              <a:p>
                <a:pPr>
                  <a:defRPr sz="11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IOUT Register </a:t>
                </a:r>
                <a:r>
                  <a:rPr lang="en-US" sz="1600" b="0" i="0" u="none" strike="noStrike" baseline="0">
                    <a:solidFill>
                      <a:srgbClr val="000000"/>
                    </a:solidFill>
                    <a:latin typeface="Calibri"/>
                    <a:cs typeface="Calibri"/>
                  </a:rPr>
                  <a:t>D</a:t>
                </a:r>
                <a:r>
                  <a:rPr lang="en-US" sz="1600" b="1" i="0" u="none" strike="noStrike" baseline="0">
                    <a:solidFill>
                      <a:srgbClr val="000000"/>
                    </a:solidFill>
                    <a:latin typeface="Calibri"/>
                    <a:cs typeface="Calibri"/>
                  </a:rPr>
                  <a:t>ata</a:t>
                </a:r>
              </a:p>
            </c:rich>
          </c:tx>
          <c:layout/>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zh-TW"/>
          </a:p>
        </c:txPr>
        <c:crossAx val="97109504"/>
        <c:crosses val="autoZero"/>
        <c:crossBetween val="midCat"/>
      </c:valAx>
    </c:plotArea>
    <c:legend>
      <c:legendPos val="r"/>
      <c:layout>
        <c:manualLayout>
          <c:xMode val="edge"/>
          <c:yMode val="edge"/>
          <c:x val="9.5193337637696343E-2"/>
          <c:y val="9.459459459459478E-2"/>
          <c:w val="0.23374200044033169"/>
          <c:h val="0.28185353519999223"/>
        </c:manualLayout>
      </c:layout>
      <c:txPr>
        <a:bodyPr/>
        <a:lstStyle/>
        <a:p>
          <a:pPr>
            <a:defRPr sz="1100" b="0" i="0" u="none" strike="noStrike" baseline="0">
              <a:solidFill>
                <a:srgbClr val="000000"/>
              </a:solidFill>
              <a:latin typeface="Calibri"/>
              <a:ea typeface="Calibri"/>
              <a:cs typeface="Calibri"/>
            </a:defRPr>
          </a:pPr>
          <a:endParaRPr lang="zh-TW"/>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zh-TW"/>
    </a:p>
  </c:txPr>
  <c:printSettings>
    <c:headerFooter/>
    <c:pageMargins b="0.75000000000000078" l="0.70000000000000062" r="0.70000000000000062" t="0.75000000000000078" header="0.30000000000000032" footer="0.30000000000000032"/>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6</xdr:col>
      <xdr:colOff>7620</xdr:colOff>
      <xdr:row>31</xdr:row>
      <xdr:rowOff>22860</xdr:rowOff>
    </xdr:from>
    <xdr:to>
      <xdr:col>7</xdr:col>
      <xdr:colOff>7620</xdr:colOff>
      <xdr:row>37</xdr:row>
      <xdr:rowOff>0</xdr:rowOff>
    </xdr:to>
    <xdr:sp macro="" textlink="">
      <xdr:nvSpPr>
        <xdr:cNvPr id="26875067" name="AutoShape 7"/>
        <xdr:cNvSpPr>
          <a:spLocks/>
        </xdr:cNvSpPr>
      </xdr:nvSpPr>
      <xdr:spPr bwMode="auto">
        <a:xfrm>
          <a:off x="6888480" y="5219700"/>
          <a:ext cx="510540" cy="998220"/>
        </a:xfrm>
        <a:prstGeom prst="rightBrace">
          <a:avLst>
            <a:gd name="adj1" fmla="val 68847"/>
            <a:gd name="adj2" fmla="val 50630"/>
          </a:avLst>
        </a:prstGeom>
        <a:solidFill>
          <a:srgbClr val="FFCC99"/>
        </a:solidFill>
        <a:ln w="9525">
          <a:solidFill>
            <a:srgbClr val="000000"/>
          </a:solidFill>
          <a:round/>
          <a:headEnd/>
          <a:tailEnd/>
        </a:ln>
      </xdr:spPr>
    </xdr:sp>
    <xdr:clientData/>
  </xdr:twoCellAnchor>
  <xdr:twoCellAnchor>
    <xdr:from>
      <xdr:col>6</xdr:col>
      <xdr:colOff>7620</xdr:colOff>
      <xdr:row>39</xdr:row>
      <xdr:rowOff>7620</xdr:rowOff>
    </xdr:from>
    <xdr:to>
      <xdr:col>7</xdr:col>
      <xdr:colOff>7620</xdr:colOff>
      <xdr:row>41</xdr:row>
      <xdr:rowOff>0</xdr:rowOff>
    </xdr:to>
    <xdr:sp macro="" textlink="">
      <xdr:nvSpPr>
        <xdr:cNvPr id="26875068" name="AutoShape 8"/>
        <xdr:cNvSpPr>
          <a:spLocks/>
        </xdr:cNvSpPr>
      </xdr:nvSpPr>
      <xdr:spPr bwMode="auto">
        <a:xfrm>
          <a:off x="6888480" y="6576060"/>
          <a:ext cx="510540" cy="320040"/>
        </a:xfrm>
        <a:prstGeom prst="rightBrace">
          <a:avLst>
            <a:gd name="adj1" fmla="val 15741"/>
            <a:gd name="adj2" fmla="val 50630"/>
          </a:avLst>
        </a:prstGeom>
        <a:solidFill>
          <a:srgbClr val="FFCC99"/>
        </a:solidFill>
        <a:ln w="9525">
          <a:solidFill>
            <a:srgbClr val="000000"/>
          </a:solidFill>
          <a:round/>
          <a:headEnd/>
          <a:tailEnd/>
        </a:ln>
      </xdr:spPr>
    </xdr:sp>
    <xdr:clientData/>
  </xdr:twoCellAnchor>
  <xdr:twoCellAnchor>
    <xdr:from>
      <xdr:col>6</xdr:col>
      <xdr:colOff>0</xdr:colOff>
      <xdr:row>43</xdr:row>
      <xdr:rowOff>0</xdr:rowOff>
    </xdr:from>
    <xdr:to>
      <xdr:col>6</xdr:col>
      <xdr:colOff>502920</xdr:colOff>
      <xdr:row>69</xdr:row>
      <xdr:rowOff>152400</xdr:rowOff>
    </xdr:to>
    <xdr:sp macro="" textlink="">
      <xdr:nvSpPr>
        <xdr:cNvPr id="26875069" name="AutoShape 9"/>
        <xdr:cNvSpPr>
          <a:spLocks/>
        </xdr:cNvSpPr>
      </xdr:nvSpPr>
      <xdr:spPr bwMode="auto">
        <a:xfrm>
          <a:off x="6880860" y="7391400"/>
          <a:ext cx="502920" cy="4434840"/>
        </a:xfrm>
        <a:prstGeom prst="rightBrace">
          <a:avLst>
            <a:gd name="adj1" fmla="val 27778"/>
            <a:gd name="adj2" fmla="val 50630"/>
          </a:avLst>
        </a:prstGeom>
        <a:solidFill>
          <a:srgbClr val="FFCC99"/>
        </a:solidFill>
        <a:ln w="9525">
          <a:solidFill>
            <a:srgbClr val="000000"/>
          </a:solidFill>
          <a:round/>
          <a:headEnd/>
          <a:tailEnd/>
        </a:ln>
      </xdr:spPr>
    </xdr:sp>
    <xdr:clientData/>
  </xdr:twoCellAnchor>
  <xdr:twoCellAnchor>
    <xdr:from>
      <xdr:col>6</xdr:col>
      <xdr:colOff>0</xdr:colOff>
      <xdr:row>73</xdr:row>
      <xdr:rowOff>0</xdr:rowOff>
    </xdr:from>
    <xdr:to>
      <xdr:col>6</xdr:col>
      <xdr:colOff>487680</xdr:colOff>
      <xdr:row>88</xdr:row>
      <xdr:rowOff>167640</xdr:rowOff>
    </xdr:to>
    <xdr:sp macro="" textlink="">
      <xdr:nvSpPr>
        <xdr:cNvPr id="26875070" name="AutoShape 10"/>
        <xdr:cNvSpPr>
          <a:spLocks/>
        </xdr:cNvSpPr>
      </xdr:nvSpPr>
      <xdr:spPr bwMode="auto">
        <a:xfrm>
          <a:off x="6880860" y="12329160"/>
          <a:ext cx="487680" cy="1943100"/>
        </a:xfrm>
        <a:prstGeom prst="rightBrace">
          <a:avLst>
            <a:gd name="adj1" fmla="val 15725"/>
            <a:gd name="adj2" fmla="val 49898"/>
          </a:avLst>
        </a:prstGeom>
        <a:solidFill>
          <a:srgbClr val="FFCC99"/>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525780</xdr:colOff>
      <xdr:row>10</xdr:row>
      <xdr:rowOff>0</xdr:rowOff>
    </xdr:from>
    <xdr:to>
      <xdr:col>32</xdr:col>
      <xdr:colOff>457200</xdr:colOff>
      <xdr:row>53</xdr:row>
      <xdr:rowOff>137160</xdr:rowOff>
    </xdr:to>
    <xdr:graphicFrame macro="">
      <xdr:nvGraphicFramePr>
        <xdr:cNvPr id="270173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213360</xdr:colOff>
      <xdr:row>55</xdr:row>
      <xdr:rowOff>91440</xdr:rowOff>
    </xdr:from>
    <xdr:to>
      <xdr:col>15</xdr:col>
      <xdr:colOff>419100</xdr:colOff>
      <xdr:row>99</xdr:row>
      <xdr:rowOff>76200</xdr:rowOff>
    </xdr:to>
    <xdr:graphicFrame macro="">
      <xdr:nvGraphicFramePr>
        <xdr:cNvPr id="270173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251460</xdr:colOff>
      <xdr:row>10</xdr:row>
      <xdr:rowOff>0</xdr:rowOff>
    </xdr:from>
    <xdr:to>
      <xdr:col>15</xdr:col>
      <xdr:colOff>441960</xdr:colOff>
      <xdr:row>54</xdr:row>
      <xdr:rowOff>7620</xdr:rowOff>
    </xdr:to>
    <xdr:graphicFrame macro="">
      <xdr:nvGraphicFramePr>
        <xdr:cNvPr id="270173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525780</xdr:colOff>
      <xdr:row>55</xdr:row>
      <xdr:rowOff>99060</xdr:rowOff>
    </xdr:from>
    <xdr:to>
      <xdr:col>32</xdr:col>
      <xdr:colOff>190500</xdr:colOff>
      <xdr:row>99</xdr:row>
      <xdr:rowOff>76200</xdr:rowOff>
    </xdr:to>
    <xdr:graphicFrame macro="">
      <xdr:nvGraphicFramePr>
        <xdr:cNvPr id="270173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10</xdr:row>
      <xdr:rowOff>0</xdr:rowOff>
    </xdr:from>
    <xdr:to>
      <xdr:col>18</xdr:col>
      <xdr:colOff>556260</xdr:colOff>
      <xdr:row>55</xdr:row>
      <xdr:rowOff>68580</xdr:rowOff>
    </xdr:to>
    <xdr:graphicFrame macro="">
      <xdr:nvGraphicFramePr>
        <xdr:cNvPr id="270225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76200</xdr:colOff>
      <xdr:row>10</xdr:row>
      <xdr:rowOff>0</xdr:rowOff>
    </xdr:from>
    <xdr:to>
      <xdr:col>37</xdr:col>
      <xdr:colOff>22860</xdr:colOff>
      <xdr:row>55</xdr:row>
      <xdr:rowOff>68580</xdr:rowOff>
    </xdr:to>
    <xdr:graphicFrame macro="">
      <xdr:nvGraphicFramePr>
        <xdr:cNvPr id="27022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56</xdr:row>
      <xdr:rowOff>0</xdr:rowOff>
    </xdr:from>
    <xdr:to>
      <xdr:col>18</xdr:col>
      <xdr:colOff>556260</xdr:colOff>
      <xdr:row>101</xdr:row>
      <xdr:rowOff>68580</xdr:rowOff>
    </xdr:to>
    <xdr:graphicFrame macro="">
      <xdr:nvGraphicFramePr>
        <xdr:cNvPr id="27022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56</xdr:row>
      <xdr:rowOff>0</xdr:rowOff>
    </xdr:from>
    <xdr:to>
      <xdr:col>36</xdr:col>
      <xdr:colOff>556260</xdr:colOff>
      <xdr:row>101</xdr:row>
      <xdr:rowOff>68580</xdr:rowOff>
    </xdr:to>
    <xdr:graphicFrame macro="">
      <xdr:nvGraphicFramePr>
        <xdr:cNvPr id="270225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30480</xdr:colOff>
      <xdr:row>9</xdr:row>
      <xdr:rowOff>99060</xdr:rowOff>
    </xdr:from>
    <xdr:to>
      <xdr:col>18</xdr:col>
      <xdr:colOff>579120</xdr:colOff>
      <xdr:row>55</xdr:row>
      <xdr:rowOff>0</xdr:rowOff>
    </xdr:to>
    <xdr:graphicFrame macro="">
      <xdr:nvGraphicFramePr>
        <xdr:cNvPr id="272845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0</xdr:colOff>
      <xdr:row>40</xdr:row>
      <xdr:rowOff>0</xdr:rowOff>
    </xdr:from>
    <xdr:to>
      <xdr:col>36</xdr:col>
      <xdr:colOff>175260</xdr:colOff>
      <xdr:row>71</xdr:row>
      <xdr:rowOff>7620</xdr:rowOff>
    </xdr:to>
    <xdr:graphicFrame macro="">
      <xdr:nvGraphicFramePr>
        <xdr:cNvPr id="270286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419100</xdr:colOff>
      <xdr:row>73</xdr:row>
      <xdr:rowOff>38100</xdr:rowOff>
    </xdr:from>
    <xdr:to>
      <xdr:col>53</xdr:col>
      <xdr:colOff>457200</xdr:colOff>
      <xdr:row>111</xdr:row>
      <xdr:rowOff>91440</xdr:rowOff>
    </xdr:to>
    <xdr:graphicFrame macro="">
      <xdr:nvGraphicFramePr>
        <xdr:cNvPr id="270286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73</xdr:row>
      <xdr:rowOff>152400</xdr:rowOff>
    </xdr:from>
    <xdr:to>
      <xdr:col>33</xdr:col>
      <xdr:colOff>594360</xdr:colOff>
      <xdr:row>112</xdr:row>
      <xdr:rowOff>38100</xdr:rowOff>
    </xdr:to>
    <xdr:graphicFrame macro="">
      <xdr:nvGraphicFramePr>
        <xdr:cNvPr id="27028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518160</xdr:colOff>
      <xdr:row>5</xdr:row>
      <xdr:rowOff>76200</xdr:rowOff>
    </xdr:from>
    <xdr:to>
      <xdr:col>36</xdr:col>
      <xdr:colOff>38100</xdr:colOff>
      <xdr:row>35</xdr:row>
      <xdr:rowOff>0</xdr:rowOff>
    </xdr:to>
    <xdr:graphicFrame macro="">
      <xdr:nvGraphicFramePr>
        <xdr:cNvPr id="270286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133350</xdr:colOff>
      <xdr:row>4</xdr:row>
      <xdr:rowOff>0</xdr:rowOff>
    </xdr:from>
    <xdr:to>
      <xdr:col>25</xdr:col>
      <xdr:colOff>179070</xdr:colOff>
      <xdr:row>36</xdr:row>
      <xdr:rowOff>259080</xdr:rowOff>
    </xdr:to>
    <xdr:graphicFrame macro="">
      <xdr:nvGraphicFramePr>
        <xdr:cNvPr id="24210583"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0.28253</cdr:x>
      <cdr:y>0.93462</cdr:y>
    </cdr:from>
    <cdr:to>
      <cdr:x>0.30478</cdr:x>
      <cdr:y>0.99837</cdr:y>
    </cdr:to>
    <cdr:sp macro="" textlink="">
      <cdr:nvSpPr>
        <cdr:cNvPr id="20481" name="WordArt 1"/>
        <cdr:cNvSpPr>
          <a:spLocks xmlns:a="http://schemas.openxmlformats.org/drawingml/2006/main" noChangeArrowheads="1" noChangeShapeType="1" noTextEdit="1"/>
        </cdr:cNvSpPr>
      </cdr:nvSpPr>
      <cdr:spPr bwMode="auto">
        <a:xfrm xmlns:a="http://schemas.openxmlformats.org/drawingml/2006/main" rot="16200000">
          <a:off x="2319918" y="5548442"/>
          <a:ext cx="370765" cy="190951"/>
        </a:xfrm>
        <a:prstGeom xmlns:a="http://schemas.openxmlformats.org/drawingml/2006/main" prst="rect">
          <a:avLst/>
        </a:prstGeom>
      </cdr:spPr>
      <cdr:txBody>
        <a:bodyPr xmlns:a="http://schemas.openxmlformats.org/drawingml/2006/main" wrap="none" fromWordArt="1">
          <a:prstTxWarp prst="textPlain">
            <a:avLst>
              <a:gd name="adj" fmla="val 50000"/>
            </a:avLst>
          </a:prstTxWarp>
        </a:bodyPr>
        <a:lstStyle xmlns:a="http://schemas.openxmlformats.org/drawingml/2006/main"/>
        <a:p xmlns:a="http://schemas.openxmlformats.org/drawingml/2006/main">
          <a:pPr algn="ctr" rtl="0"/>
          <a:r>
            <a:rPr lang="en-US" sz="1000" kern="10" spc="0">
              <a:ln w="9525">
                <a:solidFill>
                  <a:srgbClr val="000000"/>
                </a:solidFill>
                <a:round/>
                <a:headEnd/>
                <a:tailEnd/>
              </a:ln>
              <a:solidFill>
                <a:srgbClr val="000000"/>
              </a:solidFill>
              <a:effectLst/>
              <a:latin typeface="Arial"/>
              <a:cs typeface="Arial"/>
            </a:rPr>
            <a:t>Initial</a:t>
          </a:r>
        </a:p>
      </cdr:txBody>
    </cdr:sp>
  </cdr:relSizeAnchor>
  <cdr:relSizeAnchor xmlns:cdr="http://schemas.openxmlformats.org/drawingml/2006/chartDrawing">
    <cdr:from>
      <cdr:x>0.88075</cdr:x>
      <cdr:y>0.9365</cdr:y>
    </cdr:from>
    <cdr:to>
      <cdr:x>0.90225</cdr:x>
      <cdr:y>1</cdr:y>
    </cdr:to>
    <cdr:sp macro="" textlink="">
      <cdr:nvSpPr>
        <cdr:cNvPr id="20483" name="WordArt 3"/>
        <cdr:cNvSpPr>
          <a:spLocks xmlns:a="http://schemas.openxmlformats.org/drawingml/2006/main" noChangeArrowheads="1" noChangeShapeType="1" noTextEdit="1"/>
        </cdr:cNvSpPr>
      </cdr:nvSpPr>
      <cdr:spPr bwMode="auto">
        <a:xfrm xmlns:a="http://schemas.openxmlformats.org/drawingml/2006/main" rot="16200000">
          <a:off x="7465493" y="5561186"/>
          <a:ext cx="370765" cy="184513"/>
        </a:xfrm>
        <a:prstGeom xmlns:a="http://schemas.openxmlformats.org/drawingml/2006/main" prst="rect">
          <a:avLst/>
        </a:prstGeom>
      </cdr:spPr>
      <cdr:txBody>
        <a:bodyPr xmlns:a="http://schemas.openxmlformats.org/drawingml/2006/main" wrap="none" fromWordArt="1">
          <a:prstTxWarp prst="textPlain">
            <a:avLst>
              <a:gd name="adj" fmla="val 50000"/>
            </a:avLst>
          </a:prstTxWarp>
        </a:bodyPr>
        <a:lstStyle xmlns:a="http://schemas.openxmlformats.org/drawingml/2006/main"/>
        <a:p xmlns:a="http://schemas.openxmlformats.org/drawingml/2006/main">
          <a:pPr algn="ctr" rtl="0"/>
          <a:r>
            <a:rPr lang="en-US" sz="1000" kern="10" spc="0">
              <a:ln w="9525">
                <a:solidFill>
                  <a:srgbClr val="000000"/>
                </a:solidFill>
                <a:round/>
                <a:headEnd/>
                <a:tailEnd/>
              </a:ln>
              <a:solidFill>
                <a:srgbClr val="000000"/>
              </a:solidFill>
              <a:effectLst/>
              <a:latin typeface="Arial"/>
              <a:cs typeface="Arial"/>
            </a:rPr>
            <a:t>Final</a:t>
          </a:r>
        </a:p>
      </cdr:txBody>
    </cdr:sp>
  </cdr:relSizeAnchor>
  <cdr:relSizeAnchor xmlns:cdr="http://schemas.openxmlformats.org/drawingml/2006/chartDrawing">
    <cdr:from>
      <cdr:x>0.54008</cdr:x>
      <cdr:y>0.9332</cdr:y>
    </cdr:from>
    <cdr:to>
      <cdr:x>0.63633</cdr:x>
      <cdr:y>0.98695</cdr:y>
    </cdr:to>
    <cdr:sp macro="" textlink="">
      <cdr:nvSpPr>
        <cdr:cNvPr id="20484" name="WordArt 4"/>
        <cdr:cNvSpPr>
          <a:spLocks xmlns:a="http://schemas.openxmlformats.org/drawingml/2006/main" noChangeArrowheads="1" noChangeShapeType="1" noTextEdit="1"/>
        </cdr:cNvSpPr>
      </cdr:nvSpPr>
      <cdr:spPr bwMode="auto">
        <a:xfrm xmlns:a="http://schemas.openxmlformats.org/drawingml/2006/main">
          <a:off x="4634977" y="5448788"/>
          <a:ext cx="826020" cy="313837"/>
        </a:xfrm>
        <a:prstGeom xmlns:a="http://schemas.openxmlformats.org/drawingml/2006/main" prst="rect">
          <a:avLst/>
        </a:prstGeom>
      </cdr:spPr>
      <cdr:txBody>
        <a:bodyPr xmlns:a="http://schemas.openxmlformats.org/drawingml/2006/main" wrap="none" fromWordArt="1">
          <a:prstTxWarp prst="textPlain">
            <a:avLst>
              <a:gd name="adj" fmla="val 50000"/>
            </a:avLst>
          </a:prstTxWarp>
        </a:bodyPr>
        <a:lstStyle xmlns:a="http://schemas.openxmlformats.org/drawingml/2006/main"/>
        <a:p xmlns:a="http://schemas.openxmlformats.org/drawingml/2006/main">
          <a:pPr algn="ctr" rtl="0"/>
          <a:r>
            <a:rPr lang="en-US" sz="1000" kern="10" spc="0">
              <a:ln w="9525">
                <a:solidFill>
                  <a:srgbClr val="000000"/>
                </a:solidFill>
                <a:round/>
                <a:headEnd/>
                <a:tailEnd/>
              </a:ln>
              <a:solidFill>
                <a:srgbClr val="000000"/>
              </a:solidFill>
              <a:effectLst/>
              <a:latin typeface="Arial"/>
              <a:cs typeface="Arial"/>
            </a:rPr>
            <a:t>Time</a:t>
          </a:r>
        </a:p>
      </cdr:txBody>
    </cdr:sp>
  </cdr:relSizeAnchor>
</c:userShapes>
</file>

<file path=xl/drawings/drawing4.xml><?xml version="1.0" encoding="utf-8"?>
<xdr:wsDr xmlns:xdr="http://schemas.openxmlformats.org/drawingml/2006/spreadsheetDrawing" xmlns:a="http://schemas.openxmlformats.org/drawingml/2006/main">
  <xdr:twoCellAnchor>
    <xdr:from>
      <xdr:col>20</xdr:col>
      <xdr:colOff>99060</xdr:colOff>
      <xdr:row>7</xdr:row>
      <xdr:rowOff>0</xdr:rowOff>
    </xdr:from>
    <xdr:to>
      <xdr:col>33</xdr:col>
      <xdr:colOff>495300</xdr:colOff>
      <xdr:row>31</xdr:row>
      <xdr:rowOff>38100</xdr:rowOff>
    </xdr:to>
    <xdr:graphicFrame macro="">
      <xdr:nvGraphicFramePr>
        <xdr:cNvPr id="270052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91440</xdr:colOff>
      <xdr:row>36</xdr:row>
      <xdr:rowOff>106680</xdr:rowOff>
    </xdr:from>
    <xdr:to>
      <xdr:col>33</xdr:col>
      <xdr:colOff>533400</xdr:colOff>
      <xdr:row>60</xdr:row>
      <xdr:rowOff>60960</xdr:rowOff>
    </xdr:to>
    <xdr:graphicFrame macro="">
      <xdr:nvGraphicFramePr>
        <xdr:cNvPr id="270052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22860</xdr:colOff>
      <xdr:row>94</xdr:row>
      <xdr:rowOff>137160</xdr:rowOff>
    </xdr:from>
    <xdr:to>
      <xdr:col>33</xdr:col>
      <xdr:colOff>175260</xdr:colOff>
      <xdr:row>110</xdr:row>
      <xdr:rowOff>144780</xdr:rowOff>
    </xdr:to>
    <xdr:graphicFrame macro="">
      <xdr:nvGraphicFramePr>
        <xdr:cNvPr id="2700526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38100</xdr:colOff>
      <xdr:row>65</xdr:row>
      <xdr:rowOff>38100</xdr:rowOff>
    </xdr:from>
    <xdr:to>
      <xdr:col>34</xdr:col>
      <xdr:colOff>541020</xdr:colOff>
      <xdr:row>88</xdr:row>
      <xdr:rowOff>68580</xdr:rowOff>
    </xdr:to>
    <xdr:graphicFrame macro="">
      <xdr:nvGraphicFramePr>
        <xdr:cNvPr id="2700526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7620</xdr:colOff>
      <xdr:row>92</xdr:row>
      <xdr:rowOff>0</xdr:rowOff>
    </xdr:from>
    <xdr:to>
      <xdr:col>30</xdr:col>
      <xdr:colOff>525780</xdr:colOff>
      <xdr:row>92</xdr:row>
      <xdr:rowOff>0</xdr:rowOff>
    </xdr:to>
    <xdr:graphicFrame macro="">
      <xdr:nvGraphicFramePr>
        <xdr:cNvPr id="2700526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518160</xdr:colOff>
      <xdr:row>7</xdr:row>
      <xdr:rowOff>15240</xdr:rowOff>
    </xdr:from>
    <xdr:to>
      <xdr:col>55</xdr:col>
      <xdr:colOff>83820</xdr:colOff>
      <xdr:row>28</xdr:row>
      <xdr:rowOff>152400</xdr:rowOff>
    </xdr:to>
    <xdr:graphicFrame macro="">
      <xdr:nvGraphicFramePr>
        <xdr:cNvPr id="2700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7620</xdr:colOff>
      <xdr:row>37</xdr:row>
      <xdr:rowOff>7620</xdr:rowOff>
    </xdr:from>
    <xdr:to>
      <xdr:col>55</xdr:col>
      <xdr:colOff>495300</xdr:colOff>
      <xdr:row>57</xdr:row>
      <xdr:rowOff>0</xdr:rowOff>
    </xdr:to>
    <xdr:graphicFrame macro="">
      <xdr:nvGraphicFramePr>
        <xdr:cNvPr id="270052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0</xdr:colOff>
      <xdr:row>66</xdr:row>
      <xdr:rowOff>0</xdr:rowOff>
    </xdr:from>
    <xdr:to>
      <xdr:col>57</xdr:col>
      <xdr:colOff>541020</xdr:colOff>
      <xdr:row>86</xdr:row>
      <xdr:rowOff>129540</xdr:rowOff>
    </xdr:to>
    <xdr:graphicFrame macro="">
      <xdr:nvGraphicFramePr>
        <xdr:cNvPr id="270052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331470</xdr:colOff>
      <xdr:row>142</xdr:row>
      <xdr:rowOff>38099</xdr:rowOff>
    </xdr:from>
    <xdr:to>
      <xdr:col>3</xdr:col>
      <xdr:colOff>558369</xdr:colOff>
      <xdr:row>143</xdr:row>
      <xdr:rowOff>292607</xdr:rowOff>
    </xdr:to>
    <xdr:sp macro="" textlink="">
      <xdr:nvSpPr>
        <xdr:cNvPr id="2" name="Down Arrow 1"/>
        <xdr:cNvSpPr/>
      </xdr:nvSpPr>
      <xdr:spPr>
        <a:xfrm rot="10800000">
          <a:off x="1343025" y="28517849"/>
          <a:ext cx="219075" cy="4164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331470</xdr:colOff>
      <xdr:row>174</xdr:row>
      <xdr:rowOff>38100</xdr:rowOff>
    </xdr:from>
    <xdr:to>
      <xdr:col>3</xdr:col>
      <xdr:colOff>558369</xdr:colOff>
      <xdr:row>175</xdr:row>
      <xdr:rowOff>292608</xdr:rowOff>
    </xdr:to>
    <xdr:sp macro="" textlink="">
      <xdr:nvSpPr>
        <xdr:cNvPr id="3" name="Down Arrow 2"/>
        <xdr:cNvSpPr/>
      </xdr:nvSpPr>
      <xdr:spPr>
        <a:xfrm rot="10800000">
          <a:off x="1343025" y="35309175"/>
          <a:ext cx="219075" cy="4164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331470</xdr:colOff>
      <xdr:row>207</xdr:row>
      <xdr:rowOff>47625</xdr:rowOff>
    </xdr:from>
    <xdr:to>
      <xdr:col>3</xdr:col>
      <xdr:colOff>558369</xdr:colOff>
      <xdr:row>208</xdr:row>
      <xdr:rowOff>302133</xdr:rowOff>
    </xdr:to>
    <xdr:sp macro="" textlink="">
      <xdr:nvSpPr>
        <xdr:cNvPr id="4" name="Down Arrow 3"/>
        <xdr:cNvSpPr/>
      </xdr:nvSpPr>
      <xdr:spPr>
        <a:xfrm rot="10800000">
          <a:off x="1343025" y="42348150"/>
          <a:ext cx="219075" cy="4164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20</xdr:col>
      <xdr:colOff>0</xdr:colOff>
      <xdr:row>6</xdr:row>
      <xdr:rowOff>1</xdr:rowOff>
    </xdr:from>
    <xdr:to>
      <xdr:col>26</xdr:col>
      <xdr:colOff>589941</xdr:colOff>
      <xdr:row>20</xdr:row>
      <xdr:rowOff>170994</xdr:rowOff>
    </xdr:to>
    <xdr:pic>
      <xdr:nvPicPr>
        <xdr:cNvPr id="5" name="圖片 4"/>
        <xdr:cNvPicPr>
          <a:picLocks noChangeAspect="1"/>
        </xdr:cNvPicPr>
      </xdr:nvPicPr>
      <xdr:blipFill>
        <a:blip xmlns:r="http://schemas.openxmlformats.org/officeDocument/2006/relationships" r:embed="rId1" cstate="print"/>
        <a:stretch>
          <a:fillRect/>
        </a:stretch>
      </xdr:blipFill>
      <xdr:spPr>
        <a:xfrm>
          <a:off x="13830300" y="1047751"/>
          <a:ext cx="4876191" cy="3657143"/>
        </a:xfrm>
        <a:prstGeom prst="rect">
          <a:avLst/>
        </a:prstGeom>
      </xdr:spPr>
    </xdr:pic>
    <xdr:clientData/>
  </xdr:twoCellAnchor>
  <xdr:twoCellAnchor editAs="oneCell">
    <xdr:from>
      <xdr:col>29</xdr:col>
      <xdr:colOff>0</xdr:colOff>
      <xdr:row>6</xdr:row>
      <xdr:rowOff>1</xdr:rowOff>
    </xdr:from>
    <xdr:to>
      <xdr:col>35</xdr:col>
      <xdr:colOff>589941</xdr:colOff>
      <xdr:row>20</xdr:row>
      <xdr:rowOff>170994</xdr:rowOff>
    </xdr:to>
    <xdr:pic>
      <xdr:nvPicPr>
        <xdr:cNvPr id="12" name="圖片 11"/>
        <xdr:cNvPicPr>
          <a:picLocks noChangeAspect="1"/>
        </xdr:cNvPicPr>
      </xdr:nvPicPr>
      <xdr:blipFill>
        <a:blip xmlns:r="http://schemas.openxmlformats.org/officeDocument/2006/relationships" r:embed="rId2" cstate="print"/>
        <a:stretch>
          <a:fillRect/>
        </a:stretch>
      </xdr:blipFill>
      <xdr:spPr>
        <a:xfrm>
          <a:off x="20259675" y="1047751"/>
          <a:ext cx="4876191" cy="3657143"/>
        </a:xfrm>
        <a:prstGeom prst="rect">
          <a:avLst/>
        </a:prstGeom>
      </xdr:spPr>
    </xdr:pic>
    <xdr:clientData/>
  </xdr:twoCellAnchor>
  <xdr:twoCellAnchor editAs="oneCell">
    <xdr:from>
      <xdr:col>38</xdr:col>
      <xdr:colOff>0</xdr:colOff>
      <xdr:row>6</xdr:row>
      <xdr:rowOff>1</xdr:rowOff>
    </xdr:from>
    <xdr:to>
      <xdr:col>44</xdr:col>
      <xdr:colOff>589941</xdr:colOff>
      <xdr:row>20</xdr:row>
      <xdr:rowOff>170994</xdr:rowOff>
    </xdr:to>
    <xdr:pic>
      <xdr:nvPicPr>
        <xdr:cNvPr id="30" name="圖片 29"/>
        <xdr:cNvPicPr>
          <a:picLocks noChangeAspect="1"/>
        </xdr:cNvPicPr>
      </xdr:nvPicPr>
      <xdr:blipFill>
        <a:blip xmlns:r="http://schemas.openxmlformats.org/officeDocument/2006/relationships" r:embed="rId3" cstate="print"/>
        <a:stretch>
          <a:fillRect/>
        </a:stretch>
      </xdr:blipFill>
      <xdr:spPr>
        <a:xfrm>
          <a:off x="26689050" y="1047751"/>
          <a:ext cx="4876191" cy="3657143"/>
        </a:xfrm>
        <a:prstGeom prst="rect">
          <a:avLst/>
        </a:prstGeom>
      </xdr:spPr>
    </xdr:pic>
    <xdr:clientData/>
  </xdr:twoCellAnchor>
  <xdr:twoCellAnchor editAs="oneCell">
    <xdr:from>
      <xdr:col>20</xdr:col>
      <xdr:colOff>0</xdr:colOff>
      <xdr:row>21</xdr:row>
      <xdr:rowOff>0</xdr:rowOff>
    </xdr:from>
    <xdr:to>
      <xdr:col>24</xdr:col>
      <xdr:colOff>555833</xdr:colOff>
      <xdr:row>35</xdr:row>
      <xdr:rowOff>26350</xdr:rowOff>
    </xdr:to>
    <xdr:pic>
      <xdr:nvPicPr>
        <xdr:cNvPr id="31" name="圖片 30"/>
        <xdr:cNvPicPr>
          <a:picLocks noChangeAspect="1"/>
        </xdr:cNvPicPr>
      </xdr:nvPicPr>
      <xdr:blipFill>
        <a:blip xmlns:r="http://schemas.openxmlformats.org/officeDocument/2006/relationships" r:embed="rId4" cstate="print"/>
        <a:stretch>
          <a:fillRect/>
        </a:stretch>
      </xdr:blipFill>
      <xdr:spPr>
        <a:xfrm>
          <a:off x="13830300" y="4772025"/>
          <a:ext cx="3413333" cy="2560000"/>
        </a:xfrm>
        <a:prstGeom prst="rect">
          <a:avLst/>
        </a:prstGeom>
      </xdr:spPr>
    </xdr:pic>
    <xdr:clientData/>
  </xdr:twoCellAnchor>
  <xdr:twoCellAnchor editAs="oneCell">
    <xdr:from>
      <xdr:col>29</xdr:col>
      <xdr:colOff>0</xdr:colOff>
      <xdr:row>21</xdr:row>
      <xdr:rowOff>0</xdr:rowOff>
    </xdr:from>
    <xdr:to>
      <xdr:col>33</xdr:col>
      <xdr:colOff>555833</xdr:colOff>
      <xdr:row>35</xdr:row>
      <xdr:rowOff>26350</xdr:rowOff>
    </xdr:to>
    <xdr:pic>
      <xdr:nvPicPr>
        <xdr:cNvPr id="32" name="圖片 31"/>
        <xdr:cNvPicPr>
          <a:picLocks noChangeAspect="1"/>
        </xdr:cNvPicPr>
      </xdr:nvPicPr>
      <xdr:blipFill>
        <a:blip xmlns:r="http://schemas.openxmlformats.org/officeDocument/2006/relationships" r:embed="rId5" cstate="print"/>
        <a:stretch>
          <a:fillRect/>
        </a:stretch>
      </xdr:blipFill>
      <xdr:spPr>
        <a:xfrm>
          <a:off x="20259675" y="4772025"/>
          <a:ext cx="3413333" cy="2560000"/>
        </a:xfrm>
        <a:prstGeom prst="rect">
          <a:avLst/>
        </a:prstGeom>
      </xdr:spPr>
    </xdr:pic>
    <xdr:clientData/>
  </xdr:twoCellAnchor>
  <xdr:twoCellAnchor editAs="oneCell">
    <xdr:from>
      <xdr:col>15</xdr:col>
      <xdr:colOff>0</xdr:colOff>
      <xdr:row>44</xdr:row>
      <xdr:rowOff>1</xdr:rowOff>
    </xdr:from>
    <xdr:to>
      <xdr:col>21</xdr:col>
      <xdr:colOff>389916</xdr:colOff>
      <xdr:row>59</xdr:row>
      <xdr:rowOff>151944</xdr:rowOff>
    </xdr:to>
    <xdr:pic>
      <xdr:nvPicPr>
        <xdr:cNvPr id="33" name="圖片 32"/>
        <xdr:cNvPicPr>
          <a:picLocks noChangeAspect="1"/>
        </xdr:cNvPicPr>
      </xdr:nvPicPr>
      <xdr:blipFill>
        <a:blip xmlns:r="http://schemas.openxmlformats.org/officeDocument/2006/relationships" r:embed="rId6" cstate="print"/>
        <a:stretch>
          <a:fillRect/>
        </a:stretch>
      </xdr:blipFill>
      <xdr:spPr>
        <a:xfrm>
          <a:off x="10058400" y="8772526"/>
          <a:ext cx="4876191" cy="3657143"/>
        </a:xfrm>
        <a:prstGeom prst="rect">
          <a:avLst/>
        </a:prstGeom>
      </xdr:spPr>
    </xdr:pic>
    <xdr:clientData/>
  </xdr:twoCellAnchor>
  <xdr:twoCellAnchor editAs="oneCell">
    <xdr:from>
      <xdr:col>24</xdr:col>
      <xdr:colOff>0</xdr:colOff>
      <xdr:row>44</xdr:row>
      <xdr:rowOff>1</xdr:rowOff>
    </xdr:from>
    <xdr:to>
      <xdr:col>30</xdr:col>
      <xdr:colOff>589941</xdr:colOff>
      <xdr:row>59</xdr:row>
      <xdr:rowOff>151944</xdr:rowOff>
    </xdr:to>
    <xdr:pic>
      <xdr:nvPicPr>
        <xdr:cNvPr id="34" name="圖片 33"/>
        <xdr:cNvPicPr>
          <a:picLocks noChangeAspect="1"/>
        </xdr:cNvPicPr>
      </xdr:nvPicPr>
      <xdr:blipFill>
        <a:blip xmlns:r="http://schemas.openxmlformats.org/officeDocument/2006/relationships" r:embed="rId7" cstate="print"/>
        <a:stretch>
          <a:fillRect/>
        </a:stretch>
      </xdr:blipFill>
      <xdr:spPr>
        <a:xfrm>
          <a:off x="16687800" y="8772526"/>
          <a:ext cx="4876191" cy="3657143"/>
        </a:xfrm>
        <a:prstGeom prst="rect">
          <a:avLst/>
        </a:prstGeom>
      </xdr:spPr>
    </xdr:pic>
    <xdr:clientData/>
  </xdr:twoCellAnchor>
  <xdr:twoCellAnchor editAs="oneCell">
    <xdr:from>
      <xdr:col>15</xdr:col>
      <xdr:colOff>0</xdr:colOff>
      <xdr:row>74</xdr:row>
      <xdr:rowOff>1</xdr:rowOff>
    </xdr:from>
    <xdr:to>
      <xdr:col>21</xdr:col>
      <xdr:colOff>389916</xdr:colOff>
      <xdr:row>90</xdr:row>
      <xdr:rowOff>85269</xdr:rowOff>
    </xdr:to>
    <xdr:pic>
      <xdr:nvPicPr>
        <xdr:cNvPr id="35" name="圖片 34"/>
        <xdr:cNvPicPr>
          <a:picLocks noChangeAspect="1"/>
        </xdr:cNvPicPr>
      </xdr:nvPicPr>
      <xdr:blipFill>
        <a:blip xmlns:r="http://schemas.openxmlformats.org/officeDocument/2006/relationships" r:embed="rId8" cstate="print"/>
        <a:stretch>
          <a:fillRect/>
        </a:stretch>
      </xdr:blipFill>
      <xdr:spPr>
        <a:xfrm>
          <a:off x="10058400" y="14782801"/>
          <a:ext cx="4876191" cy="3657143"/>
        </a:xfrm>
        <a:prstGeom prst="rect">
          <a:avLst/>
        </a:prstGeom>
      </xdr:spPr>
    </xdr:pic>
    <xdr:clientData/>
  </xdr:twoCellAnchor>
  <xdr:twoCellAnchor editAs="oneCell">
    <xdr:from>
      <xdr:col>24</xdr:col>
      <xdr:colOff>0</xdr:colOff>
      <xdr:row>74</xdr:row>
      <xdr:rowOff>1</xdr:rowOff>
    </xdr:from>
    <xdr:to>
      <xdr:col>30</xdr:col>
      <xdr:colOff>589941</xdr:colOff>
      <xdr:row>90</xdr:row>
      <xdr:rowOff>85269</xdr:rowOff>
    </xdr:to>
    <xdr:pic>
      <xdr:nvPicPr>
        <xdr:cNvPr id="36" name="圖片 35"/>
        <xdr:cNvPicPr>
          <a:picLocks noChangeAspect="1"/>
        </xdr:cNvPicPr>
      </xdr:nvPicPr>
      <xdr:blipFill>
        <a:blip xmlns:r="http://schemas.openxmlformats.org/officeDocument/2006/relationships" r:embed="rId9" cstate="print"/>
        <a:stretch>
          <a:fillRect/>
        </a:stretch>
      </xdr:blipFill>
      <xdr:spPr>
        <a:xfrm>
          <a:off x="16687800" y="14782801"/>
          <a:ext cx="4876191" cy="3657143"/>
        </a:xfrm>
        <a:prstGeom prst="rect">
          <a:avLst/>
        </a:prstGeom>
      </xdr:spPr>
    </xdr:pic>
    <xdr:clientData/>
  </xdr:twoCellAnchor>
  <xdr:twoCellAnchor editAs="oneCell">
    <xdr:from>
      <xdr:col>15</xdr:col>
      <xdr:colOff>0</xdr:colOff>
      <xdr:row>103</xdr:row>
      <xdr:rowOff>1</xdr:rowOff>
    </xdr:from>
    <xdr:to>
      <xdr:col>21</xdr:col>
      <xdr:colOff>389916</xdr:colOff>
      <xdr:row>119</xdr:row>
      <xdr:rowOff>85269</xdr:rowOff>
    </xdr:to>
    <xdr:pic>
      <xdr:nvPicPr>
        <xdr:cNvPr id="38" name="圖片 37"/>
        <xdr:cNvPicPr>
          <a:picLocks noChangeAspect="1"/>
        </xdr:cNvPicPr>
      </xdr:nvPicPr>
      <xdr:blipFill>
        <a:blip xmlns:r="http://schemas.openxmlformats.org/officeDocument/2006/relationships" r:embed="rId10" cstate="print"/>
        <a:stretch>
          <a:fillRect/>
        </a:stretch>
      </xdr:blipFill>
      <xdr:spPr>
        <a:xfrm>
          <a:off x="10058400" y="20535901"/>
          <a:ext cx="4876191" cy="3657143"/>
        </a:xfrm>
        <a:prstGeom prst="rect">
          <a:avLst/>
        </a:prstGeom>
      </xdr:spPr>
    </xdr:pic>
    <xdr:clientData/>
  </xdr:twoCellAnchor>
  <xdr:twoCellAnchor editAs="oneCell">
    <xdr:from>
      <xdr:col>24</xdr:col>
      <xdr:colOff>0</xdr:colOff>
      <xdr:row>103</xdr:row>
      <xdr:rowOff>1</xdr:rowOff>
    </xdr:from>
    <xdr:to>
      <xdr:col>30</xdr:col>
      <xdr:colOff>589941</xdr:colOff>
      <xdr:row>119</xdr:row>
      <xdr:rowOff>85269</xdr:rowOff>
    </xdr:to>
    <xdr:pic>
      <xdr:nvPicPr>
        <xdr:cNvPr id="40" name="圖片 39"/>
        <xdr:cNvPicPr>
          <a:picLocks noChangeAspect="1"/>
        </xdr:cNvPicPr>
      </xdr:nvPicPr>
      <xdr:blipFill>
        <a:blip xmlns:r="http://schemas.openxmlformats.org/officeDocument/2006/relationships" r:embed="rId11" cstate="print"/>
        <a:stretch>
          <a:fillRect/>
        </a:stretch>
      </xdr:blipFill>
      <xdr:spPr>
        <a:xfrm>
          <a:off x="16687800" y="20535901"/>
          <a:ext cx="4876191" cy="3657143"/>
        </a:xfrm>
        <a:prstGeom prst="rect">
          <a:avLst/>
        </a:prstGeom>
      </xdr:spPr>
    </xdr:pic>
    <xdr:clientData/>
  </xdr:twoCellAnchor>
  <xdr:twoCellAnchor editAs="oneCell">
    <xdr:from>
      <xdr:col>15</xdr:col>
      <xdr:colOff>0</xdr:colOff>
      <xdr:row>133</xdr:row>
      <xdr:rowOff>1</xdr:rowOff>
    </xdr:from>
    <xdr:to>
      <xdr:col>21</xdr:col>
      <xdr:colOff>389916</xdr:colOff>
      <xdr:row>143</xdr:row>
      <xdr:rowOff>161469</xdr:rowOff>
    </xdr:to>
    <xdr:pic>
      <xdr:nvPicPr>
        <xdr:cNvPr id="41" name="圖片 40"/>
        <xdr:cNvPicPr>
          <a:picLocks noChangeAspect="1"/>
        </xdr:cNvPicPr>
      </xdr:nvPicPr>
      <xdr:blipFill>
        <a:blip xmlns:r="http://schemas.openxmlformats.org/officeDocument/2006/relationships" r:embed="rId12" cstate="print"/>
        <a:stretch>
          <a:fillRect/>
        </a:stretch>
      </xdr:blipFill>
      <xdr:spPr>
        <a:xfrm>
          <a:off x="10058400" y="26450926"/>
          <a:ext cx="4876191" cy="3657143"/>
        </a:xfrm>
        <a:prstGeom prst="rect">
          <a:avLst/>
        </a:prstGeom>
      </xdr:spPr>
    </xdr:pic>
    <xdr:clientData/>
  </xdr:twoCellAnchor>
  <xdr:twoCellAnchor editAs="oneCell">
    <xdr:from>
      <xdr:col>22</xdr:col>
      <xdr:colOff>257175</xdr:colOff>
      <xdr:row>133</xdr:row>
      <xdr:rowOff>19051</xdr:rowOff>
    </xdr:from>
    <xdr:to>
      <xdr:col>29</xdr:col>
      <xdr:colOff>132741</xdr:colOff>
      <xdr:row>143</xdr:row>
      <xdr:rowOff>180519</xdr:rowOff>
    </xdr:to>
    <xdr:pic>
      <xdr:nvPicPr>
        <xdr:cNvPr id="42" name="圖片 41"/>
        <xdr:cNvPicPr>
          <a:picLocks noChangeAspect="1"/>
        </xdr:cNvPicPr>
      </xdr:nvPicPr>
      <xdr:blipFill>
        <a:blip xmlns:r="http://schemas.openxmlformats.org/officeDocument/2006/relationships" r:embed="rId13" cstate="print"/>
        <a:stretch>
          <a:fillRect/>
        </a:stretch>
      </xdr:blipFill>
      <xdr:spPr>
        <a:xfrm>
          <a:off x="15516225" y="26469976"/>
          <a:ext cx="4876191" cy="3657143"/>
        </a:xfrm>
        <a:prstGeom prst="rect">
          <a:avLst/>
        </a:prstGeom>
      </xdr:spPr>
    </xdr:pic>
    <xdr:clientData/>
  </xdr:twoCellAnchor>
  <xdr:twoCellAnchor editAs="oneCell">
    <xdr:from>
      <xdr:col>30</xdr:col>
      <xdr:colOff>0</xdr:colOff>
      <xdr:row>133</xdr:row>
      <xdr:rowOff>1</xdr:rowOff>
    </xdr:from>
    <xdr:to>
      <xdr:col>36</xdr:col>
      <xdr:colOff>589941</xdr:colOff>
      <xdr:row>143</xdr:row>
      <xdr:rowOff>161469</xdr:rowOff>
    </xdr:to>
    <xdr:pic>
      <xdr:nvPicPr>
        <xdr:cNvPr id="43" name="圖片 42"/>
        <xdr:cNvPicPr>
          <a:picLocks noChangeAspect="1"/>
        </xdr:cNvPicPr>
      </xdr:nvPicPr>
      <xdr:blipFill>
        <a:blip xmlns:r="http://schemas.openxmlformats.org/officeDocument/2006/relationships" r:embed="rId14" cstate="print"/>
        <a:stretch>
          <a:fillRect/>
        </a:stretch>
      </xdr:blipFill>
      <xdr:spPr>
        <a:xfrm>
          <a:off x="20974050" y="26450926"/>
          <a:ext cx="4876191" cy="3657143"/>
        </a:xfrm>
        <a:prstGeom prst="rect">
          <a:avLst/>
        </a:prstGeom>
      </xdr:spPr>
    </xdr:pic>
    <xdr:clientData/>
  </xdr:twoCellAnchor>
  <xdr:twoCellAnchor editAs="oneCell">
    <xdr:from>
      <xdr:col>37</xdr:col>
      <xdr:colOff>285750</xdr:colOff>
      <xdr:row>132</xdr:row>
      <xdr:rowOff>161926</xdr:rowOff>
    </xdr:from>
    <xdr:to>
      <xdr:col>44</xdr:col>
      <xdr:colOff>161316</xdr:colOff>
      <xdr:row>143</xdr:row>
      <xdr:rowOff>151944</xdr:rowOff>
    </xdr:to>
    <xdr:pic>
      <xdr:nvPicPr>
        <xdr:cNvPr id="44" name="圖片 43"/>
        <xdr:cNvPicPr>
          <a:picLocks noChangeAspect="1"/>
        </xdr:cNvPicPr>
      </xdr:nvPicPr>
      <xdr:blipFill>
        <a:blip xmlns:r="http://schemas.openxmlformats.org/officeDocument/2006/relationships" r:embed="rId15" cstate="print"/>
        <a:stretch>
          <a:fillRect/>
        </a:stretch>
      </xdr:blipFill>
      <xdr:spPr>
        <a:xfrm>
          <a:off x="26260425" y="26441401"/>
          <a:ext cx="4876191" cy="3657143"/>
        </a:xfrm>
        <a:prstGeom prst="rect">
          <a:avLst/>
        </a:prstGeom>
      </xdr:spPr>
    </xdr:pic>
    <xdr:clientData/>
  </xdr:twoCellAnchor>
  <xdr:twoCellAnchor editAs="oneCell">
    <xdr:from>
      <xdr:col>15</xdr:col>
      <xdr:colOff>0</xdr:colOff>
      <xdr:row>165</xdr:row>
      <xdr:rowOff>1</xdr:rowOff>
    </xdr:from>
    <xdr:to>
      <xdr:col>21</xdr:col>
      <xdr:colOff>389916</xdr:colOff>
      <xdr:row>175</xdr:row>
      <xdr:rowOff>247194</xdr:rowOff>
    </xdr:to>
    <xdr:pic>
      <xdr:nvPicPr>
        <xdr:cNvPr id="45" name="圖片 44"/>
        <xdr:cNvPicPr>
          <a:picLocks noChangeAspect="1"/>
        </xdr:cNvPicPr>
      </xdr:nvPicPr>
      <xdr:blipFill>
        <a:blip xmlns:r="http://schemas.openxmlformats.org/officeDocument/2006/relationships" r:embed="rId16" cstate="print"/>
        <a:stretch>
          <a:fillRect/>
        </a:stretch>
      </xdr:blipFill>
      <xdr:spPr>
        <a:xfrm>
          <a:off x="10058400" y="34061401"/>
          <a:ext cx="4876191" cy="3657143"/>
        </a:xfrm>
        <a:prstGeom prst="rect">
          <a:avLst/>
        </a:prstGeom>
      </xdr:spPr>
    </xdr:pic>
    <xdr:clientData/>
  </xdr:twoCellAnchor>
  <xdr:twoCellAnchor editAs="oneCell">
    <xdr:from>
      <xdr:col>22</xdr:col>
      <xdr:colOff>0</xdr:colOff>
      <xdr:row>165</xdr:row>
      <xdr:rowOff>1</xdr:rowOff>
    </xdr:from>
    <xdr:to>
      <xdr:col>28</xdr:col>
      <xdr:colOff>589941</xdr:colOff>
      <xdr:row>175</xdr:row>
      <xdr:rowOff>247194</xdr:rowOff>
    </xdr:to>
    <xdr:pic>
      <xdr:nvPicPr>
        <xdr:cNvPr id="46" name="圖片 45"/>
        <xdr:cNvPicPr>
          <a:picLocks noChangeAspect="1"/>
        </xdr:cNvPicPr>
      </xdr:nvPicPr>
      <xdr:blipFill>
        <a:blip xmlns:r="http://schemas.openxmlformats.org/officeDocument/2006/relationships" r:embed="rId17" cstate="print"/>
        <a:stretch>
          <a:fillRect/>
        </a:stretch>
      </xdr:blipFill>
      <xdr:spPr>
        <a:xfrm>
          <a:off x="15259050" y="34061401"/>
          <a:ext cx="4876191" cy="3657143"/>
        </a:xfrm>
        <a:prstGeom prst="rect">
          <a:avLst/>
        </a:prstGeom>
      </xdr:spPr>
    </xdr:pic>
    <xdr:clientData/>
  </xdr:twoCellAnchor>
  <xdr:twoCellAnchor editAs="oneCell">
    <xdr:from>
      <xdr:col>29</xdr:col>
      <xdr:colOff>0</xdr:colOff>
      <xdr:row>165</xdr:row>
      <xdr:rowOff>1</xdr:rowOff>
    </xdr:from>
    <xdr:to>
      <xdr:col>35</xdr:col>
      <xdr:colOff>589941</xdr:colOff>
      <xdr:row>175</xdr:row>
      <xdr:rowOff>247194</xdr:rowOff>
    </xdr:to>
    <xdr:pic>
      <xdr:nvPicPr>
        <xdr:cNvPr id="47" name="圖片 46"/>
        <xdr:cNvPicPr>
          <a:picLocks noChangeAspect="1"/>
        </xdr:cNvPicPr>
      </xdr:nvPicPr>
      <xdr:blipFill>
        <a:blip xmlns:r="http://schemas.openxmlformats.org/officeDocument/2006/relationships" r:embed="rId18" cstate="print"/>
        <a:stretch>
          <a:fillRect/>
        </a:stretch>
      </xdr:blipFill>
      <xdr:spPr>
        <a:xfrm>
          <a:off x="20259675" y="34061401"/>
          <a:ext cx="4876191" cy="3657143"/>
        </a:xfrm>
        <a:prstGeom prst="rect">
          <a:avLst/>
        </a:prstGeom>
      </xdr:spPr>
    </xdr:pic>
    <xdr:clientData/>
  </xdr:twoCellAnchor>
  <xdr:twoCellAnchor editAs="oneCell">
    <xdr:from>
      <xdr:col>36</xdr:col>
      <xdr:colOff>0</xdr:colOff>
      <xdr:row>165</xdr:row>
      <xdr:rowOff>1</xdr:rowOff>
    </xdr:from>
    <xdr:to>
      <xdr:col>42</xdr:col>
      <xdr:colOff>589941</xdr:colOff>
      <xdr:row>175</xdr:row>
      <xdr:rowOff>247194</xdr:rowOff>
    </xdr:to>
    <xdr:pic>
      <xdr:nvPicPr>
        <xdr:cNvPr id="49" name="圖片 48"/>
        <xdr:cNvPicPr>
          <a:picLocks noChangeAspect="1"/>
        </xdr:cNvPicPr>
      </xdr:nvPicPr>
      <xdr:blipFill>
        <a:blip xmlns:r="http://schemas.openxmlformats.org/officeDocument/2006/relationships" r:embed="rId19" cstate="print"/>
        <a:stretch>
          <a:fillRect/>
        </a:stretch>
      </xdr:blipFill>
      <xdr:spPr>
        <a:xfrm>
          <a:off x="25260300" y="34061401"/>
          <a:ext cx="4876191" cy="3657143"/>
        </a:xfrm>
        <a:prstGeom prst="rect">
          <a:avLst/>
        </a:prstGeom>
      </xdr:spPr>
    </xdr:pic>
    <xdr:clientData/>
  </xdr:twoCellAnchor>
  <xdr:twoCellAnchor editAs="oneCell">
    <xdr:from>
      <xdr:col>15</xdr:col>
      <xdr:colOff>0</xdr:colOff>
      <xdr:row>198</xdr:row>
      <xdr:rowOff>1</xdr:rowOff>
    </xdr:from>
    <xdr:to>
      <xdr:col>21</xdr:col>
      <xdr:colOff>389916</xdr:colOff>
      <xdr:row>209</xdr:row>
      <xdr:rowOff>104319</xdr:rowOff>
    </xdr:to>
    <xdr:pic>
      <xdr:nvPicPr>
        <xdr:cNvPr id="50" name="圖片 49"/>
        <xdr:cNvPicPr>
          <a:picLocks noChangeAspect="1"/>
        </xdr:cNvPicPr>
      </xdr:nvPicPr>
      <xdr:blipFill>
        <a:blip xmlns:r="http://schemas.openxmlformats.org/officeDocument/2006/relationships" r:embed="rId20" cstate="print"/>
        <a:stretch>
          <a:fillRect/>
        </a:stretch>
      </xdr:blipFill>
      <xdr:spPr>
        <a:xfrm>
          <a:off x="10058400" y="41862376"/>
          <a:ext cx="4876191" cy="3657143"/>
        </a:xfrm>
        <a:prstGeom prst="rect">
          <a:avLst/>
        </a:prstGeom>
      </xdr:spPr>
    </xdr:pic>
    <xdr:clientData/>
  </xdr:twoCellAnchor>
  <xdr:twoCellAnchor editAs="oneCell">
    <xdr:from>
      <xdr:col>22</xdr:col>
      <xdr:colOff>0</xdr:colOff>
      <xdr:row>198</xdr:row>
      <xdr:rowOff>1</xdr:rowOff>
    </xdr:from>
    <xdr:to>
      <xdr:col>28</xdr:col>
      <xdr:colOff>589941</xdr:colOff>
      <xdr:row>209</xdr:row>
      <xdr:rowOff>104319</xdr:rowOff>
    </xdr:to>
    <xdr:pic>
      <xdr:nvPicPr>
        <xdr:cNvPr id="51" name="圖片 50"/>
        <xdr:cNvPicPr>
          <a:picLocks noChangeAspect="1"/>
        </xdr:cNvPicPr>
      </xdr:nvPicPr>
      <xdr:blipFill>
        <a:blip xmlns:r="http://schemas.openxmlformats.org/officeDocument/2006/relationships" r:embed="rId21" cstate="print"/>
        <a:stretch>
          <a:fillRect/>
        </a:stretch>
      </xdr:blipFill>
      <xdr:spPr>
        <a:xfrm>
          <a:off x="15259050" y="41862376"/>
          <a:ext cx="4876191" cy="3657143"/>
        </a:xfrm>
        <a:prstGeom prst="rect">
          <a:avLst/>
        </a:prstGeom>
      </xdr:spPr>
    </xdr:pic>
    <xdr:clientData/>
  </xdr:twoCellAnchor>
  <xdr:twoCellAnchor editAs="oneCell">
    <xdr:from>
      <xdr:col>29</xdr:col>
      <xdr:colOff>0</xdr:colOff>
      <xdr:row>198</xdr:row>
      <xdr:rowOff>1</xdr:rowOff>
    </xdr:from>
    <xdr:to>
      <xdr:col>35</xdr:col>
      <xdr:colOff>589941</xdr:colOff>
      <xdr:row>209</xdr:row>
      <xdr:rowOff>104319</xdr:rowOff>
    </xdr:to>
    <xdr:pic>
      <xdr:nvPicPr>
        <xdr:cNvPr id="52" name="圖片 51"/>
        <xdr:cNvPicPr>
          <a:picLocks noChangeAspect="1"/>
        </xdr:cNvPicPr>
      </xdr:nvPicPr>
      <xdr:blipFill>
        <a:blip xmlns:r="http://schemas.openxmlformats.org/officeDocument/2006/relationships" r:embed="rId22" cstate="print"/>
        <a:stretch>
          <a:fillRect/>
        </a:stretch>
      </xdr:blipFill>
      <xdr:spPr>
        <a:xfrm>
          <a:off x="20259675" y="41862376"/>
          <a:ext cx="4876191" cy="3657143"/>
        </a:xfrm>
        <a:prstGeom prst="rect">
          <a:avLst/>
        </a:prstGeom>
      </xdr:spPr>
    </xdr:pic>
    <xdr:clientData/>
  </xdr:twoCellAnchor>
  <xdr:twoCellAnchor editAs="oneCell">
    <xdr:from>
      <xdr:col>36</xdr:col>
      <xdr:colOff>0</xdr:colOff>
      <xdr:row>198</xdr:row>
      <xdr:rowOff>1</xdr:rowOff>
    </xdr:from>
    <xdr:to>
      <xdr:col>42</xdr:col>
      <xdr:colOff>589941</xdr:colOff>
      <xdr:row>209</xdr:row>
      <xdr:rowOff>104319</xdr:rowOff>
    </xdr:to>
    <xdr:pic>
      <xdr:nvPicPr>
        <xdr:cNvPr id="53" name="圖片 52"/>
        <xdr:cNvPicPr>
          <a:picLocks noChangeAspect="1"/>
        </xdr:cNvPicPr>
      </xdr:nvPicPr>
      <xdr:blipFill>
        <a:blip xmlns:r="http://schemas.openxmlformats.org/officeDocument/2006/relationships" r:embed="rId23" cstate="print"/>
        <a:stretch>
          <a:fillRect/>
        </a:stretch>
      </xdr:blipFill>
      <xdr:spPr>
        <a:xfrm>
          <a:off x="25260300" y="41862376"/>
          <a:ext cx="4876191" cy="36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0</xdr:colOff>
      <xdr:row>6</xdr:row>
      <xdr:rowOff>0</xdr:rowOff>
    </xdr:from>
    <xdr:to>
      <xdr:col>31</xdr:col>
      <xdr:colOff>23848</xdr:colOff>
      <xdr:row>23</xdr:row>
      <xdr:rowOff>160761</xdr:rowOff>
    </xdr:to>
    <xdr:pic>
      <xdr:nvPicPr>
        <xdr:cNvPr id="6" name="圖片 5"/>
        <xdr:cNvPicPr>
          <a:picLocks noChangeAspect="1"/>
        </xdr:cNvPicPr>
      </xdr:nvPicPr>
      <xdr:blipFill>
        <a:blip xmlns:r="http://schemas.openxmlformats.org/officeDocument/2006/relationships" r:embed="rId1" cstate="print"/>
        <a:stretch>
          <a:fillRect/>
        </a:stretch>
      </xdr:blipFill>
      <xdr:spPr>
        <a:xfrm>
          <a:off x="15306675" y="981075"/>
          <a:ext cx="4291048" cy="3218286"/>
        </a:xfrm>
        <a:prstGeom prst="rect">
          <a:avLst/>
        </a:prstGeom>
      </xdr:spPr>
    </xdr:pic>
    <xdr:clientData/>
  </xdr:twoCellAnchor>
  <xdr:twoCellAnchor editAs="oneCell">
    <xdr:from>
      <xdr:col>15</xdr:col>
      <xdr:colOff>0</xdr:colOff>
      <xdr:row>6</xdr:row>
      <xdr:rowOff>0</xdr:rowOff>
    </xdr:from>
    <xdr:to>
      <xdr:col>22</xdr:col>
      <xdr:colOff>23848</xdr:colOff>
      <xdr:row>23</xdr:row>
      <xdr:rowOff>160761</xdr:rowOff>
    </xdr:to>
    <xdr:pic>
      <xdr:nvPicPr>
        <xdr:cNvPr id="7" name="圖片 6"/>
        <xdr:cNvPicPr>
          <a:picLocks noChangeAspect="1"/>
        </xdr:cNvPicPr>
      </xdr:nvPicPr>
      <xdr:blipFill>
        <a:blip xmlns:r="http://schemas.openxmlformats.org/officeDocument/2006/relationships" r:embed="rId2" cstate="print"/>
        <a:stretch>
          <a:fillRect/>
        </a:stretch>
      </xdr:blipFill>
      <xdr:spPr>
        <a:xfrm>
          <a:off x="9820275" y="981075"/>
          <a:ext cx="4291048" cy="3218286"/>
        </a:xfrm>
        <a:prstGeom prst="rect">
          <a:avLst/>
        </a:prstGeom>
      </xdr:spPr>
    </xdr:pic>
    <xdr:clientData/>
  </xdr:twoCellAnchor>
  <xdr:twoCellAnchor editAs="oneCell">
    <xdr:from>
      <xdr:col>15</xdr:col>
      <xdr:colOff>0</xdr:colOff>
      <xdr:row>69</xdr:row>
      <xdr:rowOff>0</xdr:rowOff>
    </xdr:from>
    <xdr:to>
      <xdr:col>22</xdr:col>
      <xdr:colOff>23848</xdr:colOff>
      <xdr:row>87</xdr:row>
      <xdr:rowOff>8361</xdr:rowOff>
    </xdr:to>
    <xdr:pic>
      <xdr:nvPicPr>
        <xdr:cNvPr id="8" name="圖片 7"/>
        <xdr:cNvPicPr>
          <a:picLocks noChangeAspect="1"/>
        </xdr:cNvPicPr>
      </xdr:nvPicPr>
      <xdr:blipFill>
        <a:blip xmlns:r="http://schemas.openxmlformats.org/officeDocument/2006/relationships" r:embed="rId3" cstate="print"/>
        <a:stretch>
          <a:fillRect/>
        </a:stretch>
      </xdr:blipFill>
      <xdr:spPr>
        <a:xfrm>
          <a:off x="9820275" y="11925300"/>
          <a:ext cx="4291048" cy="3218286"/>
        </a:xfrm>
        <a:prstGeom prst="rect">
          <a:avLst/>
        </a:prstGeom>
      </xdr:spPr>
    </xdr:pic>
    <xdr:clientData/>
  </xdr:twoCellAnchor>
  <xdr:twoCellAnchor editAs="oneCell">
    <xdr:from>
      <xdr:col>24</xdr:col>
      <xdr:colOff>0</xdr:colOff>
      <xdr:row>69</xdr:row>
      <xdr:rowOff>0</xdr:rowOff>
    </xdr:from>
    <xdr:to>
      <xdr:col>31</xdr:col>
      <xdr:colOff>23848</xdr:colOff>
      <xdr:row>87</xdr:row>
      <xdr:rowOff>8361</xdr:rowOff>
    </xdr:to>
    <xdr:pic>
      <xdr:nvPicPr>
        <xdr:cNvPr id="9" name="圖片 8"/>
        <xdr:cNvPicPr>
          <a:picLocks noChangeAspect="1"/>
        </xdr:cNvPicPr>
      </xdr:nvPicPr>
      <xdr:blipFill>
        <a:blip xmlns:r="http://schemas.openxmlformats.org/officeDocument/2006/relationships" r:embed="rId4" cstate="print"/>
        <a:stretch>
          <a:fillRect/>
        </a:stretch>
      </xdr:blipFill>
      <xdr:spPr>
        <a:xfrm>
          <a:off x="15306675" y="11925300"/>
          <a:ext cx="4291048" cy="3218286"/>
        </a:xfrm>
        <a:prstGeom prst="rect">
          <a:avLst/>
        </a:prstGeom>
      </xdr:spPr>
    </xdr:pic>
    <xdr:clientData/>
  </xdr:twoCellAnchor>
  <xdr:twoCellAnchor editAs="oneCell">
    <xdr:from>
      <xdr:col>15</xdr:col>
      <xdr:colOff>0</xdr:colOff>
      <xdr:row>36</xdr:row>
      <xdr:rowOff>0</xdr:rowOff>
    </xdr:from>
    <xdr:to>
      <xdr:col>22</xdr:col>
      <xdr:colOff>23848</xdr:colOff>
      <xdr:row>54</xdr:row>
      <xdr:rowOff>8361</xdr:rowOff>
    </xdr:to>
    <xdr:pic>
      <xdr:nvPicPr>
        <xdr:cNvPr id="10" name="圖片 9"/>
        <xdr:cNvPicPr>
          <a:picLocks noChangeAspect="1"/>
        </xdr:cNvPicPr>
      </xdr:nvPicPr>
      <xdr:blipFill>
        <a:blip xmlns:r="http://schemas.openxmlformats.org/officeDocument/2006/relationships" r:embed="rId5" cstate="print"/>
        <a:stretch>
          <a:fillRect/>
        </a:stretch>
      </xdr:blipFill>
      <xdr:spPr>
        <a:xfrm>
          <a:off x="9820275" y="6210300"/>
          <a:ext cx="4291048" cy="3218286"/>
        </a:xfrm>
        <a:prstGeom prst="rect">
          <a:avLst/>
        </a:prstGeom>
      </xdr:spPr>
    </xdr:pic>
    <xdr:clientData/>
  </xdr:twoCellAnchor>
  <xdr:twoCellAnchor editAs="oneCell">
    <xdr:from>
      <xdr:col>24</xdr:col>
      <xdr:colOff>0</xdr:colOff>
      <xdr:row>36</xdr:row>
      <xdr:rowOff>0</xdr:rowOff>
    </xdr:from>
    <xdr:to>
      <xdr:col>31</xdr:col>
      <xdr:colOff>23848</xdr:colOff>
      <xdr:row>54</xdr:row>
      <xdr:rowOff>8361</xdr:rowOff>
    </xdr:to>
    <xdr:pic>
      <xdr:nvPicPr>
        <xdr:cNvPr id="11" name="圖片 10"/>
        <xdr:cNvPicPr>
          <a:picLocks noChangeAspect="1"/>
        </xdr:cNvPicPr>
      </xdr:nvPicPr>
      <xdr:blipFill>
        <a:blip xmlns:r="http://schemas.openxmlformats.org/officeDocument/2006/relationships" r:embed="rId6" cstate="print"/>
        <a:stretch>
          <a:fillRect/>
        </a:stretch>
      </xdr:blipFill>
      <xdr:spPr>
        <a:xfrm>
          <a:off x="15306675" y="6210300"/>
          <a:ext cx="4291048" cy="3218286"/>
        </a:xfrm>
        <a:prstGeom prst="rect">
          <a:avLst/>
        </a:prstGeom>
      </xdr:spPr>
    </xdr:pic>
    <xdr:clientData/>
  </xdr:twoCellAnchor>
  <xdr:twoCellAnchor editAs="oneCell">
    <xdr:from>
      <xdr:col>15</xdr:col>
      <xdr:colOff>0</xdr:colOff>
      <xdr:row>104</xdr:row>
      <xdr:rowOff>0</xdr:rowOff>
    </xdr:from>
    <xdr:to>
      <xdr:col>22</xdr:col>
      <xdr:colOff>23848</xdr:colOff>
      <xdr:row>121</xdr:row>
      <xdr:rowOff>170286</xdr:rowOff>
    </xdr:to>
    <xdr:pic>
      <xdr:nvPicPr>
        <xdr:cNvPr id="12" name="圖片 11"/>
        <xdr:cNvPicPr>
          <a:picLocks noChangeAspect="1"/>
        </xdr:cNvPicPr>
      </xdr:nvPicPr>
      <xdr:blipFill>
        <a:blip xmlns:r="http://schemas.openxmlformats.org/officeDocument/2006/relationships" r:embed="rId7" cstate="print"/>
        <a:stretch>
          <a:fillRect/>
        </a:stretch>
      </xdr:blipFill>
      <xdr:spPr>
        <a:xfrm>
          <a:off x="9820275" y="17973675"/>
          <a:ext cx="4291048" cy="3218286"/>
        </a:xfrm>
        <a:prstGeom prst="rect">
          <a:avLst/>
        </a:prstGeom>
      </xdr:spPr>
    </xdr:pic>
    <xdr:clientData/>
  </xdr:twoCellAnchor>
  <xdr:twoCellAnchor editAs="oneCell">
    <xdr:from>
      <xdr:col>24</xdr:col>
      <xdr:colOff>0</xdr:colOff>
      <xdr:row>104</xdr:row>
      <xdr:rowOff>0</xdr:rowOff>
    </xdr:from>
    <xdr:to>
      <xdr:col>31</xdr:col>
      <xdr:colOff>23848</xdr:colOff>
      <xdr:row>121</xdr:row>
      <xdr:rowOff>170286</xdr:rowOff>
    </xdr:to>
    <xdr:pic>
      <xdr:nvPicPr>
        <xdr:cNvPr id="13" name="圖片 12"/>
        <xdr:cNvPicPr>
          <a:picLocks noChangeAspect="1"/>
        </xdr:cNvPicPr>
      </xdr:nvPicPr>
      <xdr:blipFill>
        <a:blip xmlns:r="http://schemas.openxmlformats.org/officeDocument/2006/relationships" r:embed="rId8" cstate="print"/>
        <a:stretch>
          <a:fillRect/>
        </a:stretch>
      </xdr:blipFill>
      <xdr:spPr>
        <a:xfrm>
          <a:off x="15306675" y="17973675"/>
          <a:ext cx="4291048" cy="3218286"/>
        </a:xfrm>
        <a:prstGeom prst="rect">
          <a:avLst/>
        </a:prstGeom>
      </xdr:spPr>
    </xdr:pic>
    <xdr:clientData/>
  </xdr:twoCellAnchor>
  <xdr:twoCellAnchor editAs="oneCell">
    <xdr:from>
      <xdr:col>15</xdr:col>
      <xdr:colOff>0</xdr:colOff>
      <xdr:row>135</xdr:row>
      <xdr:rowOff>0</xdr:rowOff>
    </xdr:from>
    <xdr:to>
      <xdr:col>22</xdr:col>
      <xdr:colOff>23848</xdr:colOff>
      <xdr:row>153</xdr:row>
      <xdr:rowOff>8361</xdr:rowOff>
    </xdr:to>
    <xdr:pic>
      <xdr:nvPicPr>
        <xdr:cNvPr id="14" name="圖片 13"/>
        <xdr:cNvPicPr>
          <a:picLocks noChangeAspect="1"/>
        </xdr:cNvPicPr>
      </xdr:nvPicPr>
      <xdr:blipFill>
        <a:blip xmlns:r="http://schemas.openxmlformats.org/officeDocument/2006/relationships" r:embed="rId9" cstate="print"/>
        <a:stretch>
          <a:fillRect/>
        </a:stretch>
      </xdr:blipFill>
      <xdr:spPr>
        <a:xfrm>
          <a:off x="9820275" y="23402925"/>
          <a:ext cx="4291048" cy="3218286"/>
        </a:xfrm>
        <a:prstGeom prst="rect">
          <a:avLst/>
        </a:prstGeom>
      </xdr:spPr>
    </xdr:pic>
    <xdr:clientData/>
  </xdr:twoCellAnchor>
  <xdr:twoCellAnchor editAs="oneCell">
    <xdr:from>
      <xdr:col>24</xdr:col>
      <xdr:colOff>0</xdr:colOff>
      <xdr:row>135</xdr:row>
      <xdr:rowOff>0</xdr:rowOff>
    </xdr:from>
    <xdr:to>
      <xdr:col>31</xdr:col>
      <xdr:colOff>23848</xdr:colOff>
      <xdr:row>153</xdr:row>
      <xdr:rowOff>8361</xdr:rowOff>
    </xdr:to>
    <xdr:pic>
      <xdr:nvPicPr>
        <xdr:cNvPr id="15" name="圖片 14"/>
        <xdr:cNvPicPr>
          <a:picLocks noChangeAspect="1"/>
        </xdr:cNvPicPr>
      </xdr:nvPicPr>
      <xdr:blipFill>
        <a:blip xmlns:r="http://schemas.openxmlformats.org/officeDocument/2006/relationships" r:embed="rId10" cstate="print"/>
        <a:stretch>
          <a:fillRect/>
        </a:stretch>
      </xdr:blipFill>
      <xdr:spPr>
        <a:xfrm>
          <a:off x="15306675" y="23402925"/>
          <a:ext cx="4291048" cy="3218286"/>
        </a:xfrm>
        <a:prstGeom prst="rect">
          <a:avLst/>
        </a:prstGeom>
      </xdr:spPr>
    </xdr:pic>
    <xdr:clientData/>
  </xdr:twoCellAnchor>
  <xdr:twoCellAnchor editAs="oneCell">
    <xdr:from>
      <xdr:col>24</xdr:col>
      <xdr:colOff>0</xdr:colOff>
      <xdr:row>167</xdr:row>
      <xdr:rowOff>0</xdr:rowOff>
    </xdr:from>
    <xdr:to>
      <xdr:col>31</xdr:col>
      <xdr:colOff>23848</xdr:colOff>
      <xdr:row>185</xdr:row>
      <xdr:rowOff>8361</xdr:rowOff>
    </xdr:to>
    <xdr:pic>
      <xdr:nvPicPr>
        <xdr:cNvPr id="27" name="圖片 26"/>
        <xdr:cNvPicPr>
          <a:picLocks noChangeAspect="1"/>
        </xdr:cNvPicPr>
      </xdr:nvPicPr>
      <xdr:blipFill>
        <a:blip xmlns:r="http://schemas.openxmlformats.org/officeDocument/2006/relationships" r:embed="rId11" cstate="print"/>
        <a:stretch>
          <a:fillRect/>
        </a:stretch>
      </xdr:blipFill>
      <xdr:spPr>
        <a:xfrm>
          <a:off x="15306675" y="28946475"/>
          <a:ext cx="4291048" cy="3218286"/>
        </a:xfrm>
        <a:prstGeom prst="rect">
          <a:avLst/>
        </a:prstGeom>
      </xdr:spPr>
    </xdr:pic>
    <xdr:clientData/>
  </xdr:twoCellAnchor>
  <xdr:twoCellAnchor editAs="oneCell">
    <xdr:from>
      <xdr:col>15</xdr:col>
      <xdr:colOff>0</xdr:colOff>
      <xdr:row>167</xdr:row>
      <xdr:rowOff>0</xdr:rowOff>
    </xdr:from>
    <xdr:to>
      <xdr:col>22</xdr:col>
      <xdr:colOff>23848</xdr:colOff>
      <xdr:row>185</xdr:row>
      <xdr:rowOff>8361</xdr:rowOff>
    </xdr:to>
    <xdr:pic>
      <xdr:nvPicPr>
        <xdr:cNvPr id="28" name="圖片 27"/>
        <xdr:cNvPicPr>
          <a:picLocks noChangeAspect="1"/>
        </xdr:cNvPicPr>
      </xdr:nvPicPr>
      <xdr:blipFill>
        <a:blip xmlns:r="http://schemas.openxmlformats.org/officeDocument/2006/relationships" r:embed="rId12" cstate="print"/>
        <a:stretch>
          <a:fillRect/>
        </a:stretch>
      </xdr:blipFill>
      <xdr:spPr>
        <a:xfrm>
          <a:off x="9820275" y="28946475"/>
          <a:ext cx="4291048" cy="3218286"/>
        </a:xfrm>
        <a:prstGeom prst="rect">
          <a:avLst/>
        </a:prstGeom>
      </xdr:spPr>
    </xdr:pic>
    <xdr:clientData/>
  </xdr:twoCellAnchor>
  <xdr:twoCellAnchor editAs="oneCell">
    <xdr:from>
      <xdr:col>15</xdr:col>
      <xdr:colOff>0</xdr:colOff>
      <xdr:row>199</xdr:row>
      <xdr:rowOff>0</xdr:rowOff>
    </xdr:from>
    <xdr:to>
      <xdr:col>22</xdr:col>
      <xdr:colOff>23848</xdr:colOff>
      <xdr:row>216</xdr:row>
      <xdr:rowOff>170286</xdr:rowOff>
    </xdr:to>
    <xdr:pic>
      <xdr:nvPicPr>
        <xdr:cNvPr id="29" name="圖片 28"/>
        <xdr:cNvPicPr>
          <a:picLocks noChangeAspect="1"/>
        </xdr:cNvPicPr>
      </xdr:nvPicPr>
      <xdr:blipFill>
        <a:blip xmlns:r="http://schemas.openxmlformats.org/officeDocument/2006/relationships" r:embed="rId13" cstate="print"/>
        <a:stretch>
          <a:fillRect/>
        </a:stretch>
      </xdr:blipFill>
      <xdr:spPr>
        <a:xfrm>
          <a:off x="9820275" y="34499550"/>
          <a:ext cx="4291048" cy="3218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601980</xdr:colOff>
      <xdr:row>6</xdr:row>
      <xdr:rowOff>22860</xdr:rowOff>
    </xdr:from>
    <xdr:to>
      <xdr:col>23</xdr:col>
      <xdr:colOff>0</xdr:colOff>
      <xdr:row>38</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647700" y="1028700"/>
    <xdr:ext cx="8638674" cy="62484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609600" y="1005840"/>
    <xdr:ext cx="8555525" cy="580176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Lab_Work\IMVP8\Skylake_Validation\Rev_0p9\IMVP8%20Val_rev0_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sclaimer"/>
      <sheetName val="Revision_History"/>
      <sheetName val="Spec Entry"/>
      <sheetName val="Thermal Comp"/>
      <sheetName val="Static LL"/>
      <sheetName val="Transient LL"/>
      <sheetName val="Dynamic VID "/>
      <sheetName val="Iout Raw_data"/>
      <sheetName val="Iout Accuracy"/>
      <sheetName val="PSYS Accuracy"/>
      <sheetName val="Response Time"/>
      <sheetName val="VID1 Validation Plots"/>
      <sheetName val="VID2 - PS1 Validation Plots"/>
      <sheetName val="VID2 - PS2 Validation Plots"/>
      <sheetName val="Test Summary"/>
      <sheetName val="IOUT Calcs"/>
      <sheetName val="Iout_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ables/table1.xml><?xml version="1.0" encoding="utf-8"?>
<table xmlns="http://schemas.openxmlformats.org/spreadsheetml/2006/main" id="1" name="Table467" displayName="Table467" ref="N22:U33" totalsRowShown="0" tableBorderDxfId="35">
  <tableColumns count="8">
    <tableColumn id="1" name="Column2" dataDxfId="34" dataCellStyle="Normal 2"/>
    <tableColumn id="4" name="Test load" dataDxfId="33" dataCellStyle="Normal 2">
      <calculatedColumnFormula>ROUND(E23,0)</calculatedColumnFormula>
    </tableColumn>
    <tableColumn id="2" name="-Tol" dataDxfId="32" dataCellStyle="Percent 2">
      <calculatedColumnFormula>-Q23</calculatedColumnFormula>
    </tableColumn>
    <tableColumn id="7" name="+Tol" dataDxfId="31" dataCellStyle="Percent 2">
      <calculatedColumnFormula>VLOOKUP(O23,$F$108:$N$118,Iout_spec,TRUE)</calculatedColumnFormula>
    </tableColumn>
    <tableColumn id="9" name="- Limit" dataDxfId="30" dataCellStyle="Percent 2">
      <calculatedColumnFormula>IF('Spec Entry'!$G$28="HVM Validation",O23+(P23*O23),"")</calculatedColumnFormula>
    </tableColumn>
    <tableColumn id="3" name="+ Limit" dataDxfId="29" dataCellStyle="Percent 2">
      <calculatedColumnFormula>IF('Spec Entry'!$G$28="HVM Validation",O23+(Q23*O23),"")</calculatedColumnFormula>
    </tableColumn>
    <tableColumn id="11" name="Corrected Data" dataDxfId="28" dataCellStyle="Percent 2">
      <calculatedColumnFormula>I23*Slope+Offset</calculatedColumnFormula>
    </tableColumn>
    <tableColumn id="10" name="Column1" dataDxfId="27" dataCellStyle="Percent 2"/>
  </tableColumns>
  <tableStyleInfo name="TableStyleLight12" showFirstColumn="0" showLastColumn="0" showRowStripes="1" showColumnStripes="0"/>
</table>
</file>

<file path=xl/tables/table2.xml><?xml version="1.0" encoding="utf-8"?>
<table xmlns="http://schemas.openxmlformats.org/spreadsheetml/2006/main" id="5" name="Table4676" displayName="Table4676" ref="N42:U53" totalsRowShown="0" tableBorderDxfId="26">
  <tableColumns count="8">
    <tableColumn id="1" name="Column2" dataDxfId="25" dataCellStyle="Normal 2"/>
    <tableColumn id="4" name="Test load" dataDxfId="24" dataCellStyle="Normal 2">
      <calculatedColumnFormula>ROUND(E43,0)</calculatedColumnFormula>
    </tableColumn>
    <tableColumn id="2" name="-Tol" dataDxfId="23" dataCellStyle="Percent 2">
      <calculatedColumnFormula>-Q43</calculatedColumnFormula>
    </tableColumn>
    <tableColumn id="7" name="+Tol" dataDxfId="22" dataCellStyle="Percent 2"/>
    <tableColumn id="9" name="- Limit" dataDxfId="21" dataCellStyle="Percent 2">
      <calculatedColumnFormula>O43+(P43*O43)</calculatedColumnFormula>
    </tableColumn>
    <tableColumn id="3" name="+ Limit" dataDxfId="20" dataCellStyle="Percent 2">
      <calculatedColumnFormula>O43+(Q43*O43)</calculatedColumnFormula>
    </tableColumn>
    <tableColumn id="11" name="Corrected Data" dataDxfId="19" dataCellStyle="Percent 2">
      <calculatedColumnFormula>I43*Slope+Offset</calculatedColumnFormula>
    </tableColumn>
    <tableColumn id="10" name="Column1" dataDxfId="18" dataCellStyle="Percent 2"/>
  </tableColumns>
  <tableStyleInfo name="TableStyleLight12" showFirstColumn="0" showLastColumn="0" showRowStripes="1" showColumnStripes="0"/>
</table>
</file>

<file path=xl/tables/table3.xml><?xml version="1.0" encoding="utf-8"?>
<table xmlns="http://schemas.openxmlformats.org/spreadsheetml/2006/main" id="6" name="Table46767" displayName="Table46767" ref="N62:U67" totalsRowShown="0" tableBorderDxfId="17">
  <tableColumns count="8">
    <tableColumn id="1" name="Column2" dataDxfId="16" dataCellStyle="Normal 2"/>
    <tableColumn id="4" name="Test load" dataDxfId="15" dataCellStyle="Normal 2">
      <calculatedColumnFormula>ROUND(E63,0)</calculatedColumnFormula>
    </tableColumn>
    <tableColumn id="2" name="-Tol" dataDxfId="14" dataCellStyle="Percent 2">
      <calculatedColumnFormula>-Q63</calculatedColumnFormula>
    </tableColumn>
    <tableColumn id="7" name="+Tol" dataDxfId="13" dataCellStyle="Percent 2">
      <calculatedColumnFormula>VLOOKUP(O63,$O$43:$Q$53,3,TRUE)</calculatedColumnFormula>
    </tableColumn>
    <tableColumn id="9" name="- Limit" dataDxfId="12" dataCellStyle="Percent 2">
      <calculatedColumnFormula>O63+(P63*O63)</calculatedColumnFormula>
    </tableColumn>
    <tableColumn id="3" name="+ Limit" dataDxfId="11" dataCellStyle="Percent 2">
      <calculatedColumnFormula>O63+(Q63*O63)</calculatedColumnFormula>
    </tableColumn>
    <tableColumn id="11" name="Corrected Data" dataDxfId="10" dataCellStyle="Percent 2">
      <calculatedColumnFormula>I63*Slope+Offset</calculatedColumnFormula>
    </tableColumn>
    <tableColumn id="10" name="Column1" dataDxfId="9" dataCellStyle="Percent 2"/>
  </tableColumns>
  <tableStyleInfo name="TableStyleLight12" showFirstColumn="0" showLastColumn="0" showRowStripes="1" showColumnStripes="0"/>
</table>
</file>

<file path=xl/tables/table4.xml><?xml version="1.0" encoding="utf-8"?>
<table xmlns="http://schemas.openxmlformats.org/spreadsheetml/2006/main" id="9" name="Table4676710" displayName="Table4676710" ref="N76:U78" totalsRowShown="0" tableBorderDxfId="8">
  <tableColumns count="8">
    <tableColumn id="1" name="Column2" dataDxfId="7" dataCellStyle="Normal 2"/>
    <tableColumn id="4" name="Test load" dataDxfId="6" dataCellStyle="Normal 2">
      <calculatedColumnFormula>ROUND(E77,0)</calculatedColumnFormula>
    </tableColumn>
    <tableColumn id="2" name="-Tol" dataDxfId="5" dataCellStyle="Percent 2">
      <calculatedColumnFormula>-Q77</calculatedColumnFormula>
    </tableColumn>
    <tableColumn id="7" name="+Tol" dataDxfId="4" dataCellStyle="Percent 2"/>
    <tableColumn id="9" name="- Limit" dataDxfId="3" dataCellStyle="Percent 2">
      <calculatedColumnFormula>IF('Spec Entry'!$G$28="HVM Validation",O77+(P77*O77),"")</calculatedColumnFormula>
    </tableColumn>
    <tableColumn id="3" name="+ Limit" dataDxfId="2" dataCellStyle="Percent 2">
      <calculatedColumnFormula>IF('Spec Entry'!$G$28="HVM Validation",O77+(Q77*O77),"")</calculatedColumnFormula>
    </tableColumn>
    <tableColumn id="11" name="Corrected Data" dataDxfId="1" dataCellStyle="Percent 2">
      <calculatedColumnFormula>I77*Slope+Offset</calculatedColumnFormula>
    </tableColumn>
    <tableColumn id="10" name="Column1" dataDxfId="0" dataCellStyle="Percent 2"/>
  </tableColumns>
  <tableStyleInfo name="TableStyleLight12" showFirstColumn="0" showLastColumn="0" showRowStripes="1" showColumnStripes="0"/>
</table>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5">
    <tabColor indexed="14"/>
  </sheetPr>
  <dimension ref="A2:A17"/>
  <sheetViews>
    <sheetView workbookViewId="0">
      <selection activeCell="A8" sqref="A8:A12"/>
    </sheetView>
  </sheetViews>
  <sheetFormatPr defaultColWidth="9.140625" defaultRowHeight="12.75"/>
  <cols>
    <col min="1" max="1" width="132" style="201" customWidth="1"/>
    <col min="2" max="16384" width="9.140625" style="201"/>
  </cols>
  <sheetData>
    <row r="2" spans="1:1" ht="28.5" customHeight="1">
      <c r="A2" s="756" t="s">
        <v>414</v>
      </c>
    </row>
    <row r="3" spans="1:1" ht="23.25" customHeight="1">
      <c r="A3" s="757" t="s">
        <v>123</v>
      </c>
    </row>
    <row r="4" spans="1:1" ht="16.5" customHeight="1">
      <c r="A4" s="758" t="s">
        <v>539</v>
      </c>
    </row>
    <row r="5" spans="1:1" ht="15.75" customHeight="1">
      <c r="A5" s="759">
        <v>43111</v>
      </c>
    </row>
    <row r="6" spans="1:1" ht="13.5" customHeight="1">
      <c r="A6" s="758" t="s">
        <v>533</v>
      </c>
    </row>
    <row r="7" spans="1:1" ht="9.75" customHeight="1">
      <c r="A7" s="760"/>
    </row>
    <row r="8" spans="1:1" ht="78.75" customHeight="1">
      <c r="A8" s="778" t="s">
        <v>540</v>
      </c>
    </row>
    <row r="9" spans="1:1" ht="15" customHeight="1">
      <c r="A9" s="778"/>
    </row>
    <row r="10" spans="1:1" ht="44.25" customHeight="1">
      <c r="A10" s="778"/>
    </row>
    <row r="11" spans="1:1" ht="219.75" customHeight="1">
      <c r="A11" s="778"/>
    </row>
    <row r="12" spans="1:1" ht="0.75" customHeight="1" thickBot="1">
      <c r="A12" s="779"/>
    </row>
    <row r="13" spans="1:1" ht="33.75" customHeight="1"/>
    <row r="14" spans="1:1" ht="0.75" customHeight="1"/>
    <row r="15" spans="1:1" ht="28.5" customHeight="1"/>
    <row r="16" spans="1:1" hidden="1"/>
    <row r="17" hidden="1"/>
  </sheetData>
  <mergeCells count="1">
    <mergeCell ref="A8:A12"/>
  </mergeCells>
  <phoneticPr fontId="86"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1">
    <tabColor rgb="FF00B0F0"/>
  </sheetPr>
  <dimension ref="C3:T5"/>
  <sheetViews>
    <sheetView zoomScale="70" zoomScaleNormal="70" workbookViewId="0">
      <selection activeCell="L3" sqref="L3"/>
    </sheetView>
  </sheetViews>
  <sheetFormatPr defaultRowHeight="12.75"/>
  <sheetData>
    <row r="3" spans="3:20">
      <c r="C3" s="1068" t="s">
        <v>495</v>
      </c>
      <c r="D3" s="1069"/>
      <c r="E3" s="1069"/>
      <c r="F3" s="1069"/>
      <c r="G3" s="1069"/>
      <c r="H3" s="1069"/>
      <c r="I3" s="1069"/>
      <c r="J3" s="1069"/>
      <c r="K3" s="1070"/>
      <c r="L3" s="154" t="s">
        <v>51</v>
      </c>
      <c r="T3" s="672" t="s">
        <v>58</v>
      </c>
    </row>
    <row r="4" spans="3:20">
      <c r="T4" s="672" t="s">
        <v>51</v>
      </c>
    </row>
    <row r="5" spans="3:20">
      <c r="T5" s="672" t="s">
        <v>50</v>
      </c>
    </row>
  </sheetData>
  <mergeCells count="1">
    <mergeCell ref="C3:K3"/>
  </mergeCells>
  <phoneticPr fontId="86" type="noConversion"/>
  <conditionalFormatting sqref="L3">
    <cfRule type="cellIs" dxfId="70" priority="1" stopIfTrue="1" operator="equal">
      <formula>"Yes"</formula>
    </cfRule>
    <cfRule type="cellIs" dxfId="69" priority="2" stopIfTrue="1" operator="equal">
      <formula>"No"</formula>
    </cfRule>
  </conditionalFormatting>
  <dataValidations count="1">
    <dataValidation type="list" allowBlank="1" showInputMessage="1" showErrorMessage="1" sqref="L3">
      <formula1>$A$5:$A$7</formula1>
    </dataValidation>
  </dataValidation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sheetPr codeName="Sheet16">
    <tabColor rgb="FF7030A0"/>
  </sheetPr>
  <dimension ref="A1"/>
  <sheetViews>
    <sheetView topLeftCell="A7" workbookViewId="0"/>
  </sheetViews>
  <sheetFormatPr defaultRowHeight="12.75"/>
  <sheetData/>
  <phoneticPr fontId="8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2">
    <tabColor rgb="FF7030A0"/>
  </sheetPr>
  <dimension ref="A1:C30"/>
  <sheetViews>
    <sheetView topLeftCell="A43" zoomScale="55" zoomScaleNormal="55" workbookViewId="0">
      <selection activeCell="B1" sqref="A1:B1048576"/>
    </sheetView>
  </sheetViews>
  <sheetFormatPr defaultRowHeight="12.75"/>
  <cols>
    <col min="1" max="1" width="2.28515625" customWidth="1"/>
    <col min="3" max="3" width="11.42578125" customWidth="1"/>
    <col min="4" max="4" width="10.5703125" customWidth="1"/>
    <col min="5" max="5" width="6.7109375" customWidth="1"/>
    <col min="8" max="8" width="25.140625" customWidth="1"/>
  </cols>
  <sheetData>
    <row r="1" spans="1:1" ht="10.5" customHeight="1"/>
    <row r="2" spans="1:1" ht="17.25" customHeight="1"/>
    <row r="3" spans="1:1" ht="10.5" customHeight="1"/>
    <row r="13" spans="1:1">
      <c r="A13" t="s">
        <v>58</v>
      </c>
    </row>
    <row r="14" spans="1:1">
      <c r="A14" t="s">
        <v>51</v>
      </c>
    </row>
    <row r="15" spans="1:1">
      <c r="A15" t="s">
        <v>50</v>
      </c>
    </row>
    <row r="17" spans="1:3">
      <c r="A17" s="1071" t="s">
        <v>110</v>
      </c>
      <c r="B17" s="1071"/>
    </row>
    <row r="18" spans="1:3">
      <c r="A18" s="1071"/>
      <c r="B18" s="1071"/>
    </row>
    <row r="19" spans="1:3">
      <c r="A19" s="182">
        <f>'Transient LL'!F9</f>
        <v>12</v>
      </c>
      <c r="B19" s="182">
        <f>TREND('Static LL'!$N$11:$N$22,'Static LL'!$M$11:$M$22,A19)</f>
        <v>0.88160045194162184</v>
      </c>
    </row>
    <row r="20" spans="1:3">
      <c r="A20" s="182">
        <f>'Transient LL'!H9</f>
        <v>70</v>
      </c>
      <c r="B20" s="182">
        <f>B19-('Transient LL'!F14-'Transient LL'!F18)</f>
        <v>0.77352845194162179</v>
      </c>
    </row>
    <row r="21" spans="1:3">
      <c r="A21" s="17"/>
      <c r="B21" s="17"/>
    </row>
    <row r="22" spans="1:3">
      <c r="A22" s="1071" t="s">
        <v>111</v>
      </c>
      <c r="B22" s="1071"/>
    </row>
    <row r="23" spans="1:3">
      <c r="A23" s="1071"/>
      <c r="B23" s="1071"/>
    </row>
    <row r="24" spans="1:3">
      <c r="A24" s="181">
        <f>'Transient LL'!F47</f>
        <v>43</v>
      </c>
      <c r="B24" s="182">
        <f>TREND('Static LL'!$N$11:$N$22,'Static LL'!$M$11:$M$22,A24)</f>
        <v>0.82551248452747639</v>
      </c>
    </row>
    <row r="25" spans="1:3">
      <c r="A25" s="181">
        <f>'Transient LL'!H47</f>
        <v>53</v>
      </c>
      <c r="B25" s="182">
        <f>B24-('Transient LL'!F52-'Transient LL'!F56)</f>
        <v>0.80568848452747632</v>
      </c>
    </row>
    <row r="27" spans="1:3">
      <c r="A27" s="1071" t="s">
        <v>112</v>
      </c>
      <c r="B27" s="1071"/>
      <c r="C27" s="1072" t="s">
        <v>113</v>
      </c>
    </row>
    <row r="28" spans="1:3">
      <c r="A28" s="1071"/>
      <c r="B28" s="1071"/>
      <c r="C28" s="1072"/>
    </row>
    <row r="29" spans="1:3">
      <c r="A29" s="181">
        <f>'Transient LL'!M9</f>
        <v>59.5</v>
      </c>
      <c r="B29" s="182">
        <f>TREND('Static LL'!$N$11:$N$22,'Static LL'!$M$11:$M$22,A29)</f>
        <v>0.79565921154897967</v>
      </c>
      <c r="C29" s="181" t="e">
        <f>(VID_1+(V_TOB_IMAX_VID1+Ripple_PS0+VOvS_MAX)*0.001)</f>
        <v>#NAME?</v>
      </c>
    </row>
    <row r="30" spans="1:3">
      <c r="A30" s="181">
        <f>'Transient LL'!K9</f>
        <v>12</v>
      </c>
      <c r="B30" s="182">
        <f>B29+('Transient LL'!K18-'Transient LL'!K14)</f>
        <v>0.88210721154897975</v>
      </c>
    </row>
  </sheetData>
  <mergeCells count="4">
    <mergeCell ref="A17:B18"/>
    <mergeCell ref="A22:B23"/>
    <mergeCell ref="A27:B28"/>
    <mergeCell ref="C27:C28"/>
  </mergeCells>
  <phoneticPr fontId="8"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3">
    <tabColor rgb="FF7030A0"/>
  </sheetPr>
  <dimension ref="A2:B24"/>
  <sheetViews>
    <sheetView workbookViewId="0">
      <selection activeCell="B1" sqref="B1"/>
    </sheetView>
  </sheetViews>
  <sheetFormatPr defaultRowHeight="12.75"/>
  <cols>
    <col min="1" max="1" width="1.5703125" customWidth="1"/>
    <col min="2" max="2" width="11.7109375" customWidth="1"/>
    <col min="4" max="4" width="13.7109375" customWidth="1"/>
  </cols>
  <sheetData>
    <row r="2" spans="1:2" ht="17.25" customHeight="1"/>
    <row r="3" spans="1:2" ht="10.5" customHeight="1"/>
    <row r="11" spans="1:2">
      <c r="A11" s="1071" t="s">
        <v>110</v>
      </c>
      <c r="B11" s="1071"/>
    </row>
    <row r="12" spans="1:2">
      <c r="A12" s="1071"/>
      <c r="B12" s="1071"/>
    </row>
    <row r="13" spans="1:2">
      <c r="A13" s="182">
        <f>'Transient LL'!F77</f>
        <v>2</v>
      </c>
      <c r="B13" s="182" t="e">
        <f>TREND('Static LL'!$N$41:$N$51,'Static LL'!$M$41:$M$51,A13)</f>
        <v>#VALUE!</v>
      </c>
    </row>
    <row r="14" spans="1:2">
      <c r="A14" s="182">
        <f>'Transient LL'!H77</f>
        <v>10</v>
      </c>
      <c r="B14" s="182" t="e">
        <f>B13-('Transient LL'!F82-'Transient LL'!F86)</f>
        <v>#VALUE!</v>
      </c>
    </row>
    <row r="22" spans="1:1">
      <c r="A22" t="s">
        <v>58</v>
      </c>
    </row>
    <row r="23" spans="1:1">
      <c r="A23" t="s">
        <v>51</v>
      </c>
    </row>
    <row r="24" spans="1:1">
      <c r="A24" t="s">
        <v>50</v>
      </c>
    </row>
  </sheetData>
  <mergeCells count="1">
    <mergeCell ref="A11:B12"/>
  </mergeCells>
  <phoneticPr fontId="86" type="noConversion"/>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sheetPr codeName="Sheet14">
    <tabColor rgb="FF7030A0"/>
  </sheetPr>
  <dimension ref="A2:B24"/>
  <sheetViews>
    <sheetView workbookViewId="0">
      <selection activeCell="B1" sqref="B1"/>
    </sheetView>
  </sheetViews>
  <sheetFormatPr defaultRowHeight="12.75"/>
  <cols>
    <col min="1" max="1" width="0.5703125" customWidth="1"/>
    <col min="2" max="2" width="11.7109375" customWidth="1"/>
    <col min="4" max="4" width="13.7109375" customWidth="1"/>
  </cols>
  <sheetData>
    <row r="2" spans="1:2" ht="17.25" customHeight="1"/>
    <row r="3" spans="1:2" ht="10.5" customHeight="1"/>
    <row r="11" spans="1:2">
      <c r="A11" s="1071" t="s">
        <v>110</v>
      </c>
      <c r="B11" s="1071"/>
    </row>
    <row r="12" spans="1:2">
      <c r="A12" s="1071"/>
      <c r="B12" s="1071"/>
    </row>
    <row r="13" spans="1:2">
      <c r="A13" s="182">
        <f>'Transient LL'!F106</f>
        <v>2</v>
      </c>
      <c r="B13" s="182">
        <f>TREND('Static LL'!$N$70:$N$74,'Static LL'!$M$70:$M$74,A13)</f>
        <v>0.59809459459459469</v>
      </c>
    </row>
    <row r="14" spans="1:2">
      <c r="A14" s="182">
        <f>'Transient LL'!H106</f>
        <v>3</v>
      </c>
      <c r="B14" s="182">
        <f>B13-('Transient LL'!F111-'Transient LL'!F115)</f>
        <v>0.59189459459459459</v>
      </c>
    </row>
    <row r="22" spans="1:1">
      <c r="A22" t="s">
        <v>58</v>
      </c>
    </row>
    <row r="23" spans="1:1">
      <c r="A23" t="s">
        <v>51</v>
      </c>
    </row>
    <row r="24" spans="1:1">
      <c r="A24" t="s">
        <v>50</v>
      </c>
    </row>
  </sheetData>
  <mergeCells count="1">
    <mergeCell ref="A11:B12"/>
  </mergeCells>
  <phoneticPr fontId="86"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sheetPr codeName="Sheet4">
    <tabColor rgb="FF7030A0"/>
  </sheetPr>
  <dimension ref="B2:O179"/>
  <sheetViews>
    <sheetView zoomScale="95" zoomScaleNormal="95" workbookViewId="0">
      <selection activeCell="I8" sqref="I8"/>
    </sheetView>
  </sheetViews>
  <sheetFormatPr defaultRowHeight="12.75"/>
  <cols>
    <col min="2" max="2" width="14.28515625" customWidth="1"/>
    <col min="4" max="4" width="9.85546875" customWidth="1"/>
    <col min="6" max="6" width="11" customWidth="1"/>
    <col min="8" max="8" width="10.85546875" customWidth="1"/>
    <col min="9" max="9" width="9.140625" style="105" customWidth="1"/>
    <col min="11" max="11" width="11.42578125" customWidth="1"/>
  </cols>
  <sheetData>
    <row r="2" spans="2:15" ht="27">
      <c r="B2" s="1078" t="s">
        <v>121</v>
      </c>
      <c r="C2" s="1078"/>
      <c r="D2" s="199" t="s">
        <v>310</v>
      </c>
      <c r="E2" s="199" t="s">
        <v>311</v>
      </c>
      <c r="F2" s="199" t="s">
        <v>122</v>
      </c>
    </row>
    <row r="3" spans="2:15">
      <c r="D3" s="196">
        <f>COUNTIFS($I$4:$I$255,"Yes")+COUNTIF($I$4:$I$255,"Pass")</f>
        <v>82</v>
      </c>
      <c r="E3" s="198">
        <f>COUNTIF($I$4:$I$255,"No")+COUNTIF($I$4:$I$255,"Fail")</f>
        <v>1</v>
      </c>
      <c r="F3" s="197">
        <f>COUNTIF($I$4:$I$255,"Y/N")</f>
        <v>0</v>
      </c>
    </row>
    <row r="5" spans="2:15" ht="20.25">
      <c r="C5" s="1078" t="s">
        <v>146</v>
      </c>
      <c r="D5" s="1078"/>
      <c r="E5" s="1078"/>
      <c r="F5" s="1078"/>
    </row>
    <row r="7" spans="2:15">
      <c r="B7" s="1077" t="str">
        <f>'Thermal Comp'!F20</f>
        <v>Does the voltage stay within the Thermal Drift Limits?</v>
      </c>
      <c r="C7" s="1077"/>
      <c r="D7" s="1077"/>
      <c r="E7" s="1077"/>
      <c r="F7" s="1077"/>
      <c r="G7" s="1077"/>
      <c r="H7" s="1077"/>
      <c r="I7" s="104" t="str">
        <f>'Thermal Comp'!J20</f>
        <v>Yes</v>
      </c>
      <c r="J7" s="103"/>
      <c r="K7" s="103"/>
      <c r="L7" s="103"/>
      <c r="M7" s="103"/>
      <c r="N7" s="103"/>
      <c r="O7" s="103"/>
    </row>
    <row r="8" spans="2:15">
      <c r="B8" s="1077" t="str">
        <f>'Thermal Comp'!F27</f>
        <v>Did Alert# or VR_HOT# assert ?</v>
      </c>
      <c r="C8" s="1077"/>
      <c r="D8" s="1077"/>
      <c r="E8" s="1077"/>
      <c r="F8" s="1077"/>
      <c r="G8" s="1077"/>
      <c r="H8" s="1077"/>
      <c r="I8" s="104" t="str">
        <f>'Thermal Comp'!J27</f>
        <v>No</v>
      </c>
      <c r="J8" s="103"/>
      <c r="K8" s="103"/>
      <c r="L8" s="103"/>
      <c r="M8" s="103"/>
      <c r="N8" s="103"/>
      <c r="O8" s="103"/>
    </row>
    <row r="9" spans="2:15">
      <c r="B9" s="1077" t="str">
        <f>'Thermal Comp'!F44</f>
        <v>Did VR_HOT# assert at the expected temperature for your design?</v>
      </c>
      <c r="C9" s="1077"/>
      <c r="D9" s="1077"/>
      <c r="E9" s="1077"/>
      <c r="F9" s="1077"/>
      <c r="G9" s="1077"/>
      <c r="H9" s="1077"/>
      <c r="I9" s="104" t="str">
        <f>'Thermal Comp'!J44</f>
        <v>Yes</v>
      </c>
      <c r="J9" s="103"/>
      <c r="K9" s="103"/>
      <c r="L9" s="103"/>
      <c r="M9" s="103"/>
      <c r="N9" s="103"/>
      <c r="O9" s="103"/>
    </row>
    <row r="10" spans="2:15">
      <c r="B10" s="291"/>
      <c r="C10" s="291"/>
      <c r="D10" s="291"/>
      <c r="E10" s="291"/>
      <c r="F10" s="291"/>
      <c r="G10" s="291"/>
      <c r="H10" s="291"/>
      <c r="I10" s="104"/>
      <c r="J10" s="103"/>
      <c r="K10" s="103"/>
      <c r="L10" s="103"/>
      <c r="M10" s="103"/>
      <c r="N10" s="103"/>
      <c r="O10" s="103"/>
    </row>
    <row r="11" spans="2:15" ht="20.25">
      <c r="C11" s="1078" t="s">
        <v>119</v>
      </c>
      <c r="D11" s="1078"/>
    </row>
    <row r="13" spans="2:15">
      <c r="B13" s="1079" t="str">
        <f>'Static LL'!M8</f>
        <v>VID1 in PS0 Static Voltage Measurements</v>
      </c>
      <c r="C13" s="1079"/>
      <c r="D13" s="1079"/>
      <c r="E13" s="1079"/>
      <c r="F13" s="1079"/>
      <c r="G13" s="1079"/>
      <c r="H13" s="1079"/>
      <c r="I13" s="104"/>
    </row>
    <row r="14" spans="2:15">
      <c r="B14" s="1077" t="str">
        <f>'Static LL'!AI28</f>
        <v>Is the Measured V @ I_Min within the Min V and Max V @ I_Min limits?</v>
      </c>
      <c r="C14" s="1077"/>
      <c r="D14" s="1077"/>
      <c r="E14" s="1077"/>
      <c r="F14" s="1077"/>
      <c r="G14" s="1077"/>
      <c r="H14" s="1077"/>
      <c r="I14" s="104" t="str">
        <f>'Static LL'!AP28</f>
        <v>Yes</v>
      </c>
      <c r="J14" s="103"/>
      <c r="K14" s="103"/>
      <c r="L14" s="103"/>
      <c r="M14" s="103"/>
      <c r="N14" s="103"/>
      <c r="O14" s="103"/>
    </row>
    <row r="15" spans="2:15">
      <c r="B15" s="1077" t="str">
        <f>'Static LL'!AI29</f>
        <v>Is the DC LL within the Min and Max LL Slope limits?</v>
      </c>
      <c r="C15" s="1077"/>
      <c r="D15" s="1077"/>
      <c r="E15" s="1077"/>
      <c r="F15" s="1077"/>
      <c r="G15" s="1077"/>
      <c r="H15" s="1077"/>
      <c r="I15" s="104" t="str">
        <f>'Static LL'!AP29</f>
        <v>Yes</v>
      </c>
    </row>
    <row r="16" spans="2:15">
      <c r="B16" s="1077" t="str">
        <f>'Static LL'!AI30</f>
        <v>Is the Efficiency at TDC at or above the Efficiency target?</v>
      </c>
      <c r="C16" s="1077"/>
      <c r="D16" s="1077"/>
      <c r="E16" s="1077"/>
      <c r="F16" s="1077"/>
      <c r="G16" s="1077"/>
      <c r="H16" s="1077"/>
      <c r="I16" s="104" t="str">
        <f>'Static LL'!AP30</f>
        <v>Yes</v>
      </c>
    </row>
    <row r="17" spans="2:15">
      <c r="B17" s="1077" t="str">
        <f>'Static LL'!AI31</f>
        <v>Is the measured ripple a correct value and less than the Max ripple target?</v>
      </c>
      <c r="C17" s="1077"/>
      <c r="D17" s="1077"/>
      <c r="E17" s="1077"/>
      <c r="F17" s="1077"/>
      <c r="G17" s="1077"/>
      <c r="H17" s="1077"/>
      <c r="I17" s="104" t="str">
        <f>'Static LL'!AP31</f>
        <v>Yes</v>
      </c>
    </row>
    <row r="18" spans="2:15">
      <c r="B18" s="1077" t="str">
        <f>'Static LL'!AR31</f>
        <v>Is the measured IOUT data within the +/- Limit lines?</v>
      </c>
      <c r="C18" s="1077"/>
      <c r="D18" s="1077"/>
      <c r="E18" s="1077"/>
      <c r="F18" s="1077"/>
      <c r="G18" s="1077"/>
      <c r="H18" s="1077"/>
      <c r="I18" s="104" t="str">
        <f>'Static LL'!AY31</f>
        <v>Yes</v>
      </c>
    </row>
    <row r="20" spans="2:15">
      <c r="B20" s="1079" t="str">
        <f>'Static LL'!M38</f>
        <v>VID2 in PS1 Static Voltage Measurements</v>
      </c>
      <c r="C20" s="1079"/>
      <c r="D20" s="1079"/>
      <c r="E20" s="1079"/>
      <c r="F20" s="1079"/>
      <c r="G20" s="1079"/>
      <c r="H20" s="1079"/>
    </row>
    <row r="21" spans="2:15">
      <c r="B21" s="1076" t="str">
        <f>'Static LL'!AI51</f>
        <v>Is the Measured V @ I_Min within the Min V and Max V @ I_Min limits?</v>
      </c>
      <c r="C21" s="1076"/>
      <c r="D21" s="1076"/>
      <c r="E21" s="1076"/>
      <c r="F21" s="1076"/>
      <c r="G21" s="1076"/>
      <c r="H21" s="1076"/>
      <c r="I21" s="105" t="str">
        <f>'Static LL'!AP51</f>
        <v>Yes</v>
      </c>
      <c r="J21" s="65"/>
      <c r="K21" s="65"/>
      <c r="L21" s="65"/>
      <c r="M21" s="65"/>
      <c r="N21" s="65"/>
      <c r="O21" s="65"/>
    </row>
    <row r="22" spans="2:15">
      <c r="B22" s="1076" t="str">
        <f>'Static LL'!AI52</f>
        <v>Is the DC LL within the Min and Max LL Slope limits?</v>
      </c>
      <c r="C22" s="1076"/>
      <c r="D22" s="1076"/>
      <c r="E22" s="1076"/>
      <c r="F22" s="1076"/>
      <c r="G22" s="1076"/>
      <c r="H22" s="1076"/>
      <c r="I22" s="105" t="str">
        <f>'Static LL'!AP52</f>
        <v>Yes</v>
      </c>
    </row>
    <row r="23" spans="2:15">
      <c r="B23" s="1076" t="str">
        <f>'Static LL'!AI53</f>
        <v xml:space="preserve">Does the Efficiency meet the Efficiency targets for the design? </v>
      </c>
      <c r="C23" s="1076"/>
      <c r="D23" s="1076"/>
      <c r="E23" s="1076"/>
      <c r="F23" s="1076"/>
      <c r="G23" s="1076"/>
      <c r="H23" s="1076"/>
      <c r="I23" s="105" t="str">
        <f>'Static LL'!AP53</f>
        <v>Yes</v>
      </c>
    </row>
    <row r="24" spans="2:15">
      <c r="B24" s="1076" t="str">
        <f>'Static LL'!AI54</f>
        <v>Is the measured ripple a correct value and less than the Max ripple target?</v>
      </c>
      <c r="C24" s="1076"/>
      <c r="D24" s="1076"/>
      <c r="E24" s="1076"/>
      <c r="F24" s="1076"/>
      <c r="G24" s="1076"/>
      <c r="H24" s="1076"/>
      <c r="I24" s="105" t="str">
        <f>'Static LL'!AP54</f>
        <v>Yes</v>
      </c>
    </row>
    <row r="25" spans="2:15">
      <c r="B25" s="1077" t="str">
        <f>'Static LL'!AR59</f>
        <v>Is the measured IOUT data within the +/- Limit lines?</v>
      </c>
      <c r="C25" s="1077"/>
      <c r="D25" s="1077"/>
      <c r="E25" s="1077"/>
      <c r="F25" s="1077"/>
      <c r="G25" s="1077"/>
      <c r="H25" s="1077"/>
      <c r="I25" s="104" t="str">
        <f>'Static LL'!AY59</f>
        <v>Yes</v>
      </c>
    </row>
    <row r="26" spans="2:15">
      <c r="B26" s="1080"/>
      <c r="C26" s="1080"/>
      <c r="D26" s="1080"/>
      <c r="E26" s="1080"/>
      <c r="F26" s="1080"/>
      <c r="G26" s="1080"/>
      <c r="H26" s="1080"/>
    </row>
    <row r="27" spans="2:15">
      <c r="B27" s="1079" t="str">
        <f>'Static LL'!M67</f>
        <v>VID2 in PS2 Static Voltage Measurements</v>
      </c>
      <c r="C27" s="1079"/>
      <c r="D27" s="1079"/>
      <c r="E27" s="1079"/>
      <c r="F27" s="1079"/>
      <c r="G27" s="1079"/>
      <c r="H27" s="1079"/>
    </row>
    <row r="28" spans="2:15">
      <c r="B28" s="1076" t="str">
        <f>'Static LL'!AJ84</f>
        <v>Is the Measured V @ I_Min within the Min V and Max V @ I_Min limits?</v>
      </c>
      <c r="C28" s="1076"/>
      <c r="D28" s="1076"/>
      <c r="E28" s="1076"/>
      <c r="F28" s="1076"/>
      <c r="G28" s="1076"/>
      <c r="H28" s="1076"/>
      <c r="I28" s="105" t="str">
        <f>'Static LL'!AQ84</f>
        <v>Yes</v>
      </c>
      <c r="J28" s="13"/>
      <c r="K28" s="13"/>
      <c r="L28" s="13"/>
      <c r="M28" s="13"/>
      <c r="N28" s="13"/>
      <c r="O28" s="13"/>
    </row>
    <row r="29" spans="2:15">
      <c r="B29" s="1076" t="str">
        <f>'Static LL'!AJ85</f>
        <v>Is the DC LL within the Min and Max LL Slope limits?</v>
      </c>
      <c r="C29" s="1076"/>
      <c r="D29" s="1076"/>
      <c r="E29" s="1076"/>
      <c r="F29" s="1076"/>
      <c r="G29" s="1076"/>
      <c r="H29" s="1076"/>
      <c r="I29" s="105" t="str">
        <f>'Static LL'!AQ85</f>
        <v>Yes</v>
      </c>
    </row>
    <row r="30" spans="2:15">
      <c r="B30" s="1076" t="str">
        <f>'Static LL'!AJ86</f>
        <v>Does the Efficiency meet the Efficiency targets for the design?</v>
      </c>
      <c r="C30" s="1076"/>
      <c r="D30" s="1076"/>
      <c r="E30" s="1076"/>
      <c r="F30" s="1076"/>
      <c r="G30" s="1076"/>
      <c r="H30" s="1076"/>
      <c r="I30" s="105" t="str">
        <f>'Static LL'!AQ86</f>
        <v>Yes</v>
      </c>
    </row>
    <row r="31" spans="2:15">
      <c r="B31" s="1076" t="str">
        <f>'Static LL'!AJ87</f>
        <v>Is the measured ripple both correct,  and less than the Max ripple targets?</v>
      </c>
      <c r="C31" s="1076"/>
      <c r="D31" s="1076"/>
      <c r="E31" s="1076"/>
      <c r="F31" s="1076"/>
      <c r="G31" s="1076"/>
      <c r="H31" s="1076"/>
      <c r="I31" s="105" t="str">
        <f>'Static LL'!AQ87</f>
        <v>Yes</v>
      </c>
    </row>
    <row r="32" spans="2:15">
      <c r="B32" s="1077" t="str">
        <f>'Static LL'!AS89</f>
        <v>Is the measured IOUT data within the +/- Limit lines?</v>
      </c>
      <c r="C32" s="1077"/>
      <c r="D32" s="1077"/>
      <c r="E32" s="1077"/>
      <c r="F32" s="1077"/>
      <c r="G32" s="1077"/>
      <c r="H32" s="1077"/>
      <c r="I32" s="104" t="str">
        <f>'Static LL'!AZ89</f>
        <v>Yes</v>
      </c>
    </row>
    <row r="34" spans="2:15">
      <c r="B34" s="1079" t="str">
        <f>'Static LL'!M96</f>
        <v>VID3 in PS3 Static Voltage Measurements</v>
      </c>
      <c r="C34" s="1079"/>
      <c r="D34" s="1079"/>
      <c r="E34" s="1079"/>
      <c r="F34" s="1079"/>
      <c r="G34" s="1079"/>
      <c r="H34" s="1079"/>
    </row>
    <row r="35" spans="2:15">
      <c r="B35" s="1076" t="str">
        <f>'Static LL'!AJ113</f>
        <v>Is the Measured V @ I_Min within the Min V and Max V @ I_Min limits?</v>
      </c>
      <c r="C35" s="1076"/>
      <c r="D35" s="1076"/>
      <c r="E35" s="1076"/>
      <c r="F35" s="1076"/>
      <c r="G35" s="1076"/>
      <c r="H35" s="1076"/>
      <c r="I35" s="105" t="str">
        <f>'Static LL'!AQ113</f>
        <v>Yes</v>
      </c>
      <c r="J35" s="13"/>
      <c r="K35" s="13"/>
      <c r="L35" s="13"/>
      <c r="M35" s="13"/>
      <c r="N35" s="13"/>
      <c r="O35" s="13"/>
    </row>
    <row r="36" spans="2:15">
      <c r="B36" s="1076" t="str">
        <f>'Static LL'!AJ114</f>
        <v>Does the Efficiency meet the Efficiency targets for the design?</v>
      </c>
      <c r="C36" s="1076"/>
      <c r="D36" s="1076"/>
      <c r="E36" s="1076"/>
      <c r="F36" s="1076"/>
      <c r="G36" s="1076"/>
      <c r="H36" s="1076"/>
      <c r="I36" s="105" t="str">
        <f>'Static LL'!AQ114</f>
        <v>Yes</v>
      </c>
    </row>
    <row r="37" spans="2:15">
      <c r="B37" s="1076" t="str">
        <f>'Static LL'!AJ115</f>
        <v>Is the measured ripple a correct value and less than the Max ripple target?</v>
      </c>
      <c r="C37" s="1076"/>
      <c r="D37" s="1076"/>
      <c r="E37" s="1076"/>
      <c r="F37" s="1076"/>
      <c r="G37" s="1076"/>
      <c r="H37" s="1076"/>
      <c r="I37" s="105" t="str">
        <f>'Static LL'!AQ115</f>
        <v>Yes</v>
      </c>
    </row>
    <row r="38" spans="2:15">
      <c r="B38" s="1077"/>
      <c r="C38" s="1077"/>
      <c r="D38" s="1077"/>
      <c r="E38" s="1077"/>
      <c r="F38" s="1077"/>
      <c r="G38" s="1077"/>
      <c r="H38" s="1077"/>
      <c r="I38" s="104"/>
    </row>
    <row r="39" spans="2:15">
      <c r="B39" s="115"/>
      <c r="E39" s="115"/>
      <c r="F39" s="115"/>
      <c r="G39" s="115"/>
      <c r="H39" s="115"/>
    </row>
    <row r="40" spans="2:15" ht="20.25">
      <c r="B40" s="115"/>
      <c r="C40" s="1078" t="s">
        <v>137</v>
      </c>
      <c r="D40" s="1078"/>
      <c r="E40" s="1078"/>
      <c r="F40" s="1078"/>
      <c r="G40" s="115"/>
      <c r="H40" s="115"/>
    </row>
    <row r="41" spans="2:15">
      <c r="B41" s="115"/>
      <c r="C41" s="115"/>
      <c r="D41" s="115"/>
      <c r="E41" s="115"/>
      <c r="F41" s="115"/>
      <c r="G41" s="115"/>
      <c r="H41" s="115"/>
    </row>
    <row r="42" spans="2:15">
      <c r="B42" s="1079" t="str">
        <f>'Transient LL'!D7</f>
        <v xml:space="preserve"> PS0 Mode Large Step Transient Response Measurements </v>
      </c>
      <c r="C42" s="1079"/>
      <c r="D42" s="1079"/>
      <c r="E42" s="1079"/>
      <c r="F42" s="1079"/>
      <c r="G42" s="1079"/>
      <c r="H42" s="1079"/>
    </row>
    <row r="43" spans="2:15">
      <c r="B43" s="1076" t="str">
        <f>'Transient LL'!$D$36</f>
        <v>Is the value for R_AC_LL both correct and  less than Max R_AC_LL?</v>
      </c>
      <c r="C43" s="1076"/>
      <c r="D43" s="1076"/>
      <c r="E43" s="1076"/>
      <c r="F43" s="1076"/>
      <c r="G43" s="1076"/>
      <c r="H43" s="1076"/>
      <c r="I43" s="105" t="str">
        <f>'Transient LL'!$M$36</f>
        <v>Yes</v>
      </c>
      <c r="J43" s="65"/>
      <c r="K43" s="65"/>
      <c r="L43" s="65"/>
      <c r="M43" s="65"/>
      <c r="N43" s="65"/>
      <c r="O43" s="65"/>
    </row>
    <row r="44" spans="2:15">
      <c r="B44" s="1076" t="str">
        <f>'Transient LL'!$D$37</f>
        <v>Is the value for R_LL_OS both correct and  less than Max R_LL_OS?</v>
      </c>
      <c r="C44" s="1076"/>
      <c r="D44" s="1076"/>
      <c r="E44" s="1076"/>
      <c r="F44" s="1076"/>
      <c r="G44" s="1076"/>
      <c r="H44" s="1076"/>
      <c r="I44" s="105" t="str">
        <f>'Transient LL'!$M$37</f>
        <v>Yes</v>
      </c>
    </row>
    <row r="45" spans="2:15">
      <c r="B45" s="1076" t="str">
        <f>'Transient LL'!$D$38</f>
        <v>Is the value for Undershoot duration and tOvS both correct and  less than T_OVS_MAX &amp; T_UDS_MAX?</v>
      </c>
      <c r="C45" s="1076"/>
      <c r="D45" s="1076"/>
      <c r="E45" s="1076"/>
      <c r="F45" s="1076"/>
      <c r="G45" s="1076"/>
      <c r="H45" s="1076"/>
      <c r="I45" s="105" t="str">
        <f>'Transient LL'!$M$38</f>
        <v>Yes</v>
      </c>
    </row>
    <row r="46" spans="2:15" ht="12.75" customHeight="1">
      <c r="B46" s="1073" t="str">
        <f>'Transient LL'!U36</f>
        <v xml:space="preserve">Does the waveform above demonstrate that the VR has a controlled and stable response to transient load events? </v>
      </c>
      <c r="C46" s="1073"/>
      <c r="D46" s="1073"/>
      <c r="E46" s="1073"/>
      <c r="F46" s="1073"/>
      <c r="G46" s="1073"/>
      <c r="H46" s="1073"/>
      <c r="I46" s="1074" t="str">
        <f>'Transient LL'!AB37</f>
        <v>Yes</v>
      </c>
    </row>
    <row r="47" spans="2:15">
      <c r="B47" s="1073"/>
      <c r="C47" s="1073"/>
      <c r="D47" s="1073"/>
      <c r="E47" s="1073"/>
      <c r="F47" s="1073"/>
      <c r="G47" s="1073"/>
      <c r="H47" s="1073"/>
      <c r="I47" s="1074"/>
    </row>
    <row r="48" spans="2:15">
      <c r="B48" s="1073" t="str">
        <f>'Transient LL'!$AD$36</f>
        <v xml:space="preserve">Does the DroopV waveform above demonstrate that the VR has a controlled and stable response to transient load events? </v>
      </c>
      <c r="C48" s="1073"/>
      <c r="D48" s="1073"/>
      <c r="E48" s="1073"/>
      <c r="F48" s="1073"/>
      <c r="G48" s="1073"/>
      <c r="H48" s="1073"/>
      <c r="I48" s="1074" t="str">
        <f>'Transient LL'!$AK$37</f>
        <v>Yes</v>
      </c>
    </row>
    <row r="49" spans="2:9">
      <c r="B49" s="1073"/>
      <c r="C49" s="1073"/>
      <c r="D49" s="1073"/>
      <c r="E49" s="1073"/>
      <c r="F49" s="1073"/>
      <c r="G49" s="1073"/>
      <c r="H49" s="1073"/>
      <c r="I49" s="1074"/>
    </row>
    <row r="50" spans="2:9">
      <c r="B50" s="1073" t="str">
        <f>'Transient LL'!$AM$36</f>
        <v xml:space="preserve">Does the Overshoot waveform above demonstrate that the VR has a controlled and stable response to transient load releases? </v>
      </c>
      <c r="C50" s="1073"/>
      <c r="D50" s="1073"/>
      <c r="E50" s="1073"/>
      <c r="F50" s="1073"/>
      <c r="G50" s="1073"/>
      <c r="H50" s="1073"/>
      <c r="I50" s="1074" t="str">
        <f>'Transient LL'!$AT$37</f>
        <v>Yes</v>
      </c>
    </row>
    <row r="51" spans="2:9">
      <c r="B51" s="1073"/>
      <c r="C51" s="1073"/>
      <c r="D51" s="1073"/>
      <c r="E51" s="1073"/>
      <c r="F51" s="1073"/>
      <c r="G51" s="1073"/>
      <c r="H51" s="1073"/>
      <c r="I51" s="1074"/>
    </row>
    <row r="53" spans="2:9">
      <c r="B53" s="1075" t="str">
        <f>'Transient LL'!D45</f>
        <v xml:space="preserve"> PS0 Mode Small Step Transient Response Measurements </v>
      </c>
      <c r="C53" s="1075"/>
      <c r="D53" s="1075"/>
      <c r="E53" s="1075"/>
      <c r="F53" s="1075"/>
      <c r="G53" s="1075"/>
      <c r="H53" s="1075"/>
    </row>
    <row r="54" spans="2:9">
      <c r="B54" s="1076" t="str">
        <f>'Transient LL'!$D$66</f>
        <v>Is the value for R_AC_LL both correct and  less than Max R_AC_LL?</v>
      </c>
      <c r="C54" s="1076"/>
      <c r="D54" s="1076"/>
      <c r="E54" s="1076"/>
      <c r="F54" s="1076"/>
      <c r="G54" s="1076"/>
      <c r="H54" s="1076"/>
      <c r="I54" s="105" t="str">
        <f>'Transient LL'!$M$66</f>
        <v>Yes</v>
      </c>
    </row>
    <row r="55" spans="2:9">
      <c r="B55" s="1073" t="str">
        <f>'Transient LL'!P66</f>
        <v xml:space="preserve">Does the waveform above demonstrate that the VR has a controlled and stable response to transient load events? </v>
      </c>
      <c r="C55" s="1073"/>
      <c r="D55" s="1073"/>
      <c r="E55" s="1073"/>
      <c r="F55" s="1073"/>
      <c r="G55" s="1073"/>
      <c r="H55" s="1073"/>
      <c r="I55" s="1074" t="str">
        <f>'Transient LL'!W67</f>
        <v>Yes</v>
      </c>
    </row>
    <row r="56" spans="2:9">
      <c r="B56" s="1073"/>
      <c r="C56" s="1073"/>
      <c r="D56" s="1073"/>
      <c r="E56" s="1073"/>
      <c r="F56" s="1073"/>
      <c r="G56" s="1073"/>
      <c r="H56" s="1073"/>
      <c r="I56" s="1074"/>
    </row>
    <row r="57" spans="2:9" ht="13.15" hidden="1" customHeight="1">
      <c r="B57" s="1073">
        <f>'Transient LL'!P68</f>
        <v>0</v>
      </c>
      <c r="C57" s="1073"/>
      <c r="D57" s="1073"/>
      <c r="E57" s="1073"/>
      <c r="F57" s="1073"/>
      <c r="G57" s="1073"/>
      <c r="H57" s="1073"/>
      <c r="I57" s="1074">
        <f>'Transient LL'!W69</f>
        <v>0</v>
      </c>
    </row>
    <row r="58" spans="2:9" ht="13.15" hidden="1" customHeight="1">
      <c r="B58" s="1073"/>
      <c r="C58" s="1073"/>
      <c r="D58" s="1073"/>
      <c r="E58" s="1073"/>
      <c r="F58" s="1073"/>
      <c r="G58" s="1073"/>
      <c r="H58" s="1073"/>
      <c r="I58" s="1074"/>
    </row>
    <row r="59" spans="2:9">
      <c r="B59" s="1073" t="str">
        <f>'Transient LL'!Y66</f>
        <v xml:space="preserve">Does the DroopV waveform above demonstrate that the VR has a controlled and stable response to transient load events? </v>
      </c>
      <c r="C59" s="1073"/>
      <c r="D59" s="1073"/>
      <c r="E59" s="1073"/>
      <c r="F59" s="1073"/>
      <c r="G59" s="1073"/>
      <c r="H59" s="1073"/>
      <c r="I59" s="1074" t="str">
        <f>'Transient LL'!AF67</f>
        <v>Yes</v>
      </c>
    </row>
    <row r="60" spans="2:9">
      <c r="B60" s="1073"/>
      <c r="C60" s="1073"/>
      <c r="D60" s="1073"/>
      <c r="E60" s="1073"/>
      <c r="F60" s="1073"/>
      <c r="G60" s="1073"/>
      <c r="H60" s="1073"/>
      <c r="I60" s="1074"/>
    </row>
    <row r="62" spans="2:9">
      <c r="B62" s="1075" t="str">
        <f>'Transient LL'!D75</f>
        <v xml:space="preserve"> PS1 Mode Transient Response Measurements </v>
      </c>
      <c r="C62" s="1075"/>
      <c r="D62" s="1075"/>
      <c r="E62" s="1075"/>
      <c r="F62" s="1075"/>
      <c r="G62" s="1075"/>
      <c r="H62" s="1075"/>
    </row>
    <row r="63" spans="2:9">
      <c r="B63" s="1076" t="str">
        <f>'Transient LL'!$D$96</f>
        <v>Is the value for R_AC_LL both correct and  less than Max R_AC_LL?</v>
      </c>
      <c r="C63" s="1076"/>
      <c r="D63" s="1076"/>
      <c r="E63" s="1076"/>
      <c r="F63" s="1076"/>
      <c r="G63" s="1076"/>
      <c r="H63" s="1076"/>
      <c r="I63" s="105" t="str">
        <f>'Transient LL'!$M$96</f>
        <v>Yes</v>
      </c>
    </row>
    <row r="64" spans="2:9">
      <c r="B64" s="1073" t="str">
        <f>'Transient LL'!$P$96</f>
        <v xml:space="preserve">Does the waveform above demonstrate that the VR has a controlled and stable response to transient load events? </v>
      </c>
      <c r="C64" s="1073"/>
      <c r="D64" s="1073"/>
      <c r="E64" s="1073"/>
      <c r="F64" s="1073"/>
      <c r="G64" s="1073"/>
      <c r="H64" s="1073"/>
      <c r="I64" s="1074" t="str">
        <f>'Transient LL'!$W$97</f>
        <v>Yes</v>
      </c>
    </row>
    <row r="65" spans="2:9">
      <c r="B65" s="1073"/>
      <c r="C65" s="1073"/>
      <c r="D65" s="1073"/>
      <c r="E65" s="1073"/>
      <c r="F65" s="1073"/>
      <c r="G65" s="1073"/>
      <c r="H65" s="1073"/>
      <c r="I65" s="1074"/>
    </row>
    <row r="66" spans="2:9" hidden="1">
      <c r="B66" s="1073" t="str">
        <f>'Transient LL'!$Y$96</f>
        <v xml:space="preserve">Does the DroopV waveform above demonstrate that the VR has a controlled and stable response to transient load events? </v>
      </c>
      <c r="C66" s="1073"/>
      <c r="D66" s="1073"/>
      <c r="E66" s="1073"/>
      <c r="F66" s="1073"/>
      <c r="G66" s="1073"/>
      <c r="H66" s="1073"/>
      <c r="I66" s="1074" t="str">
        <f>'Transient LL'!AF97</f>
        <v>Yes</v>
      </c>
    </row>
    <row r="67" spans="2:9">
      <c r="B67" s="1073"/>
      <c r="C67" s="1073"/>
      <c r="D67" s="1073"/>
      <c r="E67" s="1073"/>
      <c r="F67" s="1073"/>
      <c r="G67" s="1073"/>
      <c r="H67" s="1073"/>
      <c r="I67" s="1074"/>
    </row>
    <row r="69" spans="2:9">
      <c r="B69" s="1075" t="str">
        <f>'Transient LL'!D104</f>
        <v xml:space="preserve"> PS2 Mode Transient Response Measurements </v>
      </c>
      <c r="C69" s="1075"/>
      <c r="D69" s="1075"/>
      <c r="E69" s="1075"/>
      <c r="F69" s="1075"/>
      <c r="G69" s="1075"/>
      <c r="H69" s="1075"/>
    </row>
    <row r="70" spans="2:9">
      <c r="B70" s="1076" t="str">
        <f>'Transient LL'!$D$125</f>
        <v>Is the value for R_AC_LL both correct and  less than Max R_AC_LL?</v>
      </c>
      <c r="C70" s="1076"/>
      <c r="D70" s="1076"/>
      <c r="E70" s="1076"/>
      <c r="F70" s="1076"/>
      <c r="G70" s="1076"/>
      <c r="H70" s="1076"/>
      <c r="I70" s="105" t="str">
        <f>'Transient LL'!$M$125</f>
        <v>Yes</v>
      </c>
    </row>
    <row r="71" spans="2:9">
      <c r="B71" s="1073" t="str">
        <f>'Transient LL'!$P$125</f>
        <v xml:space="preserve">Does the waveform above demonstrate that the VR has a controlled and stable response to transient load events? </v>
      </c>
      <c r="C71" s="1073"/>
      <c r="D71" s="1073"/>
      <c r="E71" s="1073"/>
      <c r="F71" s="1073"/>
      <c r="G71" s="1073"/>
      <c r="H71" s="1073"/>
      <c r="I71" s="1074" t="str">
        <f>'Transient LL'!$W$126</f>
        <v>Yes</v>
      </c>
    </row>
    <row r="72" spans="2:9">
      <c r="B72" s="1073"/>
      <c r="C72" s="1073"/>
      <c r="D72" s="1073"/>
      <c r="E72" s="1073"/>
      <c r="F72" s="1073"/>
      <c r="G72" s="1073"/>
      <c r="H72" s="1073"/>
      <c r="I72" s="1074"/>
    </row>
    <row r="73" spans="2:9" hidden="1">
      <c r="B73" s="1073" t="str">
        <f>'Transient LL'!$Y$125</f>
        <v xml:space="preserve">Does the DroopV waveform above demonstrate that the VR has a controlled and stable response to transient load events? </v>
      </c>
      <c r="C73" s="1073"/>
      <c r="D73" s="1073"/>
      <c r="E73" s="1073"/>
      <c r="F73" s="1073"/>
      <c r="G73" s="1073"/>
      <c r="H73" s="1073"/>
      <c r="I73" s="1074" t="str">
        <f>'Transient LL'!AF126</f>
        <v>Yes</v>
      </c>
    </row>
    <row r="74" spans="2:9">
      <c r="B74" s="1073"/>
      <c r="C74" s="1073"/>
      <c r="D74" s="1073"/>
      <c r="E74" s="1073"/>
      <c r="F74" s="1073"/>
      <c r="G74" s="1073"/>
      <c r="H74" s="1073"/>
      <c r="I74" s="1074"/>
    </row>
    <row r="76" spans="2:9">
      <c r="B76" s="1075" t="str">
        <f>'Transient LL'!D134</f>
        <v xml:space="preserve"> PS1 - PS0 Mode Transient Response Measurements </v>
      </c>
      <c r="C76" s="1075"/>
      <c r="D76" s="1075"/>
      <c r="E76" s="1075"/>
      <c r="F76" s="1075"/>
      <c r="G76" s="1075"/>
    </row>
    <row r="77" spans="2:9">
      <c r="B77" s="1076" t="str">
        <f>'Transient LL'!E156</f>
        <v>Is the value for R_AC_LL both correct and  less than Max R_AC_LL?</v>
      </c>
      <c r="C77" s="1076"/>
      <c r="D77" s="1076"/>
      <c r="E77" s="1076"/>
      <c r="F77" s="1076"/>
      <c r="G77" s="1076"/>
      <c r="H77" s="1076"/>
      <c r="I77" s="105" t="str">
        <f>'Transient LL'!N156</f>
        <v>Yes</v>
      </c>
    </row>
    <row r="78" spans="2:9">
      <c r="B78" s="1073" t="str">
        <f>'Transient LL'!E158</f>
        <v>Are the values for both Voltage droops during PS change both correct and  less than their respective Max Voltage droops?</v>
      </c>
      <c r="C78" s="1073"/>
      <c r="D78" s="1073"/>
      <c r="E78" s="1073"/>
      <c r="F78" s="1073"/>
      <c r="G78" s="1073"/>
      <c r="H78" s="1073"/>
      <c r="I78" s="1074" t="str">
        <f>'Transient LL'!N158</f>
        <v>Yes</v>
      </c>
    </row>
    <row r="79" spans="2:9">
      <c r="B79" s="1073"/>
      <c r="C79" s="1073"/>
      <c r="D79" s="1073"/>
      <c r="E79" s="1073"/>
      <c r="F79" s="1073"/>
      <c r="G79" s="1073"/>
      <c r="H79" s="1073"/>
      <c r="I79" s="1074"/>
    </row>
    <row r="80" spans="2:9">
      <c r="B80" s="1073" t="str">
        <f>'Transient LL'!P155</f>
        <v xml:space="preserve">Does the waveform above demonstrate that the VR has a controlled and stable response to transient load events? </v>
      </c>
      <c r="C80" s="1073"/>
      <c r="D80" s="1073"/>
      <c r="E80" s="1073"/>
      <c r="F80" s="1073"/>
      <c r="G80" s="1073"/>
      <c r="H80" s="1073"/>
      <c r="I80" s="1074" t="str">
        <f>'Transient LL'!W158</f>
        <v>Yes</v>
      </c>
    </row>
    <row r="81" spans="2:9">
      <c r="B81" s="1073"/>
      <c r="C81" s="1073"/>
      <c r="D81" s="1073"/>
      <c r="E81" s="1073"/>
      <c r="F81" s="1073"/>
      <c r="G81" s="1073"/>
      <c r="H81" s="1073"/>
      <c r="I81" s="1074"/>
    </row>
    <row r="83" spans="2:9">
      <c r="B83" s="1075" t="str">
        <f>'Transient LL'!D166</f>
        <v xml:space="preserve"> PS2 - PS0 Mode Transient Response Measurements </v>
      </c>
      <c r="C83" s="1075"/>
      <c r="D83" s="1075"/>
      <c r="E83" s="1075"/>
      <c r="F83" s="1075"/>
      <c r="G83" s="1075"/>
    </row>
    <row r="84" spans="2:9">
      <c r="B84" s="1076" t="str">
        <f>'Transient LL'!E188</f>
        <v>Is the value for R_AC_LL both correct and  less than Max R_AC_LL?</v>
      </c>
      <c r="C84" s="1076"/>
      <c r="D84" s="1076"/>
      <c r="E84" s="1076"/>
      <c r="F84" s="1076"/>
      <c r="G84" s="1076"/>
      <c r="H84" s="1076"/>
      <c r="I84" s="105" t="str">
        <f>'Transient LL'!N188</f>
        <v>Yes</v>
      </c>
    </row>
    <row r="85" spans="2:9">
      <c r="B85" s="1073" t="str">
        <f>'Transient LL'!E189</f>
        <v>Are the values for both Voltage droops during PS change both correct and  less than their respective Max Voltage droops?</v>
      </c>
      <c r="C85" s="1073"/>
      <c r="D85" s="1073"/>
      <c r="E85" s="1073"/>
      <c r="F85" s="1073"/>
      <c r="G85" s="1073"/>
      <c r="H85" s="1073"/>
      <c r="I85" s="1074" t="str">
        <f>'Transient LL'!N190</f>
        <v>Yes</v>
      </c>
    </row>
    <row r="86" spans="2:9">
      <c r="B86" s="1073"/>
      <c r="C86" s="1073"/>
      <c r="D86" s="1073"/>
      <c r="E86" s="1073"/>
      <c r="F86" s="1073"/>
      <c r="G86" s="1073"/>
      <c r="H86" s="1073"/>
      <c r="I86" s="1074"/>
    </row>
    <row r="87" spans="2:9" hidden="1">
      <c r="B87" s="1073" t="str">
        <f>'Transient LL'!P190</f>
        <v xml:space="preserve">Does the waveform above demonstrate that the VR has a controlled and stable response to transient load events? </v>
      </c>
      <c r="C87" s="1073"/>
      <c r="D87" s="1073"/>
      <c r="E87" s="1073"/>
      <c r="F87" s="1073"/>
      <c r="G87" s="1073"/>
      <c r="H87" s="1073"/>
      <c r="I87" s="1074" t="str">
        <f>'Transient LL'!W191</f>
        <v>Yes</v>
      </c>
    </row>
    <row r="88" spans="2:9">
      <c r="B88" s="1073"/>
      <c r="C88" s="1073"/>
      <c r="D88" s="1073"/>
      <c r="E88" s="1073"/>
      <c r="F88" s="1073"/>
      <c r="G88" s="1073"/>
      <c r="H88" s="1073"/>
      <c r="I88" s="1074"/>
    </row>
    <row r="89" spans="2:9">
      <c r="B89" s="596"/>
      <c r="C89" s="596"/>
      <c r="D89" s="596"/>
      <c r="E89" s="596"/>
      <c r="F89" s="596"/>
      <c r="G89" s="596"/>
      <c r="H89" s="596"/>
      <c r="I89" s="595"/>
    </row>
    <row r="90" spans="2:9">
      <c r="B90" s="1075" t="str">
        <f>'Transient LL'!D199</f>
        <v xml:space="preserve"> PS3 - PS0 Mode Transient Response Measurements </v>
      </c>
      <c r="C90" s="1075"/>
      <c r="D90" s="1075"/>
      <c r="E90" s="1075"/>
      <c r="F90" s="1075"/>
      <c r="G90" s="1075"/>
      <c r="H90" s="596"/>
      <c r="I90" s="595"/>
    </row>
    <row r="91" spans="2:9">
      <c r="B91" s="1076" t="str">
        <f>'Transient LL'!E221</f>
        <v>Is the value for R_AC_LL both correct and  less than Max R_AC_LL?</v>
      </c>
      <c r="C91" s="1076"/>
      <c r="D91" s="1076"/>
      <c r="E91" s="1076"/>
      <c r="F91" s="1076"/>
      <c r="G91" s="1076"/>
      <c r="H91" s="1076"/>
      <c r="I91" s="595" t="str">
        <f>'Transient LL'!N221</f>
        <v>Yes</v>
      </c>
    </row>
    <row r="92" spans="2:9" ht="13.15" customHeight="1">
      <c r="B92" s="1073" t="str">
        <f>'Transient LL'!E223</f>
        <v>Are the values for both Voltage droops during PS change both correct and  less than their respective Max Voltage droops?</v>
      </c>
      <c r="C92" s="1073"/>
      <c r="D92" s="1073"/>
      <c r="E92" s="1073"/>
      <c r="F92" s="1073"/>
      <c r="G92" s="1073"/>
      <c r="H92" s="1073"/>
      <c r="I92" s="1074" t="str">
        <f>'Transient LL'!N223</f>
        <v>Yes</v>
      </c>
    </row>
    <row r="93" spans="2:9">
      <c r="B93" s="1073"/>
      <c r="C93" s="1073"/>
      <c r="D93" s="1073"/>
      <c r="E93" s="1073"/>
      <c r="F93" s="1073"/>
      <c r="G93" s="1073"/>
      <c r="H93" s="1073"/>
      <c r="I93" s="1074"/>
    </row>
    <row r="94" spans="2:9">
      <c r="B94" s="1073" t="str">
        <f>'Transient LL'!P223</f>
        <v xml:space="preserve">Does the waveform above demonstrate that the VR has a controlled and stable response to transient load events? </v>
      </c>
      <c r="C94" s="1073"/>
      <c r="D94" s="1073"/>
      <c r="E94" s="1073"/>
      <c r="F94" s="1073"/>
      <c r="G94" s="1073"/>
      <c r="H94" s="1073"/>
      <c r="I94" s="1074" t="str">
        <f>'Transient LL'!W224</f>
        <v>Yes</v>
      </c>
    </row>
    <row r="95" spans="2:9">
      <c r="B95" s="1073"/>
      <c r="C95" s="1073"/>
      <c r="D95" s="1073"/>
      <c r="E95" s="1073"/>
      <c r="F95" s="1073"/>
      <c r="G95" s="1073"/>
      <c r="H95" s="1073"/>
      <c r="I95" s="1074"/>
    </row>
    <row r="96" spans="2:9">
      <c r="B96" s="596"/>
      <c r="C96" s="596"/>
      <c r="D96" s="596"/>
      <c r="E96" s="596"/>
      <c r="F96" s="596"/>
      <c r="G96" s="596"/>
      <c r="H96" s="596"/>
      <c r="I96" s="595"/>
    </row>
    <row r="97" spans="2:15">
      <c r="B97" s="1075" t="str">
        <f>'Transient LL'!D231</f>
        <v>PS0 Overcurrent Protection Test</v>
      </c>
      <c r="C97" s="1075"/>
      <c r="D97" s="1075"/>
      <c r="E97" s="1075"/>
      <c r="F97" s="1075"/>
      <c r="G97" s="1075"/>
    </row>
    <row r="98" spans="2:15" hidden="1">
      <c r="B98" s="1075" t="str">
        <f>'Transient LL'!D231</f>
        <v>PS0 Overcurrent Protection Test</v>
      </c>
      <c r="C98" s="1075"/>
      <c r="D98" s="1075"/>
      <c r="E98" s="1075"/>
      <c r="F98" s="1075"/>
      <c r="G98" s="1075"/>
      <c r="H98" s="1075"/>
    </row>
    <row r="99" spans="2:15">
      <c r="B99" s="1076" t="str">
        <f>'Transient LL'!D249</f>
        <v>Does VR shut down at a level consistent with the Overcurrent design?</v>
      </c>
      <c r="C99" s="1076"/>
      <c r="D99" s="1076"/>
      <c r="E99" s="1076"/>
      <c r="F99" s="1076"/>
      <c r="G99" s="1076"/>
      <c r="H99" s="1076"/>
      <c r="I99" s="105" t="str">
        <f>'Transient LL'!N249</f>
        <v>Yes</v>
      </c>
    </row>
    <row r="102" spans="2:15" ht="20.25">
      <c r="C102" s="1078" t="s">
        <v>136</v>
      </c>
      <c r="D102" s="1078"/>
      <c r="E102" s="1078"/>
      <c r="F102" s="1078"/>
    </row>
    <row r="103" spans="2:15" ht="13.5" customHeight="1">
      <c r="D103" s="195"/>
      <c r="E103" s="195"/>
      <c r="F103" s="195"/>
    </row>
    <row r="104" spans="2:15">
      <c r="B104" s="1075" t="str">
        <f>'Dynamic VID '!D7</f>
        <v xml:space="preserve"> PS0 Mode SetVID_Slow Dynamic Voltage Response Measurements </v>
      </c>
      <c r="C104" s="1075"/>
      <c r="D104" s="1075"/>
      <c r="E104" s="1075"/>
      <c r="F104" s="1075"/>
      <c r="G104" s="1075"/>
      <c r="H104" s="1075"/>
    </row>
    <row r="105" spans="2:15">
      <c r="B105" s="1076" t="str">
        <f>'Dynamic VID '!D28</f>
        <v>Is the time duration from CSO# to Alert both correct and less than the Max duration?</v>
      </c>
      <c r="C105" s="1076"/>
      <c r="D105" s="1076"/>
      <c r="E105" s="1076"/>
      <c r="F105" s="1076"/>
      <c r="G105" s="1076"/>
      <c r="H105" s="1076"/>
      <c r="I105" s="105" t="str">
        <f>'Dynamic VID '!L28</f>
        <v>Yes</v>
      </c>
      <c r="J105" s="65"/>
      <c r="K105" s="65"/>
      <c r="L105" s="65"/>
      <c r="M105" s="65"/>
      <c r="N105" s="65"/>
      <c r="O105" s="65"/>
    </row>
    <row r="106" spans="2:15">
      <c r="B106" s="1076" t="str">
        <f>'Dynamic VID '!D29</f>
        <v>Is the voltage change from 1us to Settled less than the TOB value?</v>
      </c>
      <c r="C106" s="1076"/>
      <c r="D106" s="1076"/>
      <c r="E106" s="1076"/>
      <c r="F106" s="1076"/>
      <c r="G106" s="1076"/>
      <c r="H106" s="1076"/>
      <c r="I106" s="105" t="str">
        <f>'Dynamic VID '!L29</f>
        <v>Yes</v>
      </c>
    </row>
    <row r="107" spans="2:15">
      <c r="B107" s="1076" t="str">
        <f>'Dynamic VID '!D30</f>
        <v>Is the Measured undershoot less than the allowed undershoot?</v>
      </c>
      <c r="C107" s="1076"/>
      <c r="D107" s="1076"/>
      <c r="E107" s="1076"/>
      <c r="F107" s="1076"/>
      <c r="G107" s="1076"/>
      <c r="H107" s="1076"/>
      <c r="I107" s="105" t="str">
        <f>'Dynamic VID '!L30</f>
        <v>Yes</v>
      </c>
    </row>
    <row r="108" spans="2:15">
      <c r="B108" s="1073" t="str">
        <f>'Dynamic VID '!P27</f>
        <v xml:space="preserve">Does the voltage increase waveform above demonstrate that the VR has a controlled and stable response to VID changes? </v>
      </c>
      <c r="C108" s="1073"/>
      <c r="D108" s="1073"/>
      <c r="E108" s="1073"/>
      <c r="F108" s="1073"/>
      <c r="G108" s="1073"/>
      <c r="H108" s="1073"/>
      <c r="I108" s="1074" t="str">
        <f>'Dynamic VID '!W29</f>
        <v>Yes</v>
      </c>
    </row>
    <row r="109" spans="2:15">
      <c r="B109" s="1073"/>
      <c r="C109" s="1073"/>
      <c r="D109" s="1073"/>
      <c r="E109" s="1073"/>
      <c r="F109" s="1073"/>
      <c r="G109" s="1073"/>
      <c r="H109" s="1073"/>
      <c r="I109" s="1074"/>
    </row>
    <row r="110" spans="2:15">
      <c r="B110" s="1073" t="str">
        <f>'Dynamic VID '!Y27</f>
        <v xml:space="preserve">Does the voltage decrease waveform above demonstrate that the VR has a controlled and stable response to VID changes? </v>
      </c>
      <c r="C110" s="1073"/>
      <c r="D110" s="1073"/>
      <c r="E110" s="1073"/>
      <c r="F110" s="1073"/>
      <c r="G110" s="1073"/>
      <c r="H110" s="1073"/>
      <c r="I110" s="1074" t="str">
        <f>'Dynamic VID '!AF29</f>
        <v>Yes</v>
      </c>
    </row>
    <row r="111" spans="2:15">
      <c r="B111" s="1073"/>
      <c r="C111" s="1073"/>
      <c r="D111" s="1073"/>
      <c r="E111" s="1073"/>
      <c r="F111" s="1073"/>
      <c r="G111" s="1073"/>
      <c r="H111" s="1073"/>
      <c r="I111" s="1074"/>
    </row>
    <row r="112" spans="2:15" ht="13.5" customHeight="1">
      <c r="D112" s="195"/>
      <c r="E112" s="195"/>
      <c r="F112" s="195"/>
    </row>
    <row r="113" spans="2:15">
      <c r="B113" s="1075" t="str">
        <f>'Dynamic VID '!D37</f>
        <v xml:space="preserve"> PS0 Mode SetVID_Fast Dynamic Voltage Response Measurements </v>
      </c>
      <c r="C113" s="1075"/>
      <c r="D113" s="1075"/>
      <c r="E113" s="1075"/>
      <c r="F113" s="1075"/>
      <c r="G113" s="1075"/>
      <c r="H113" s="1075"/>
    </row>
    <row r="114" spans="2:15">
      <c r="B114" s="1076" t="str">
        <f>'Dynamic VID '!D60</f>
        <v>Is the time duration from CSO# to Alert both correct and less than the Max duration?</v>
      </c>
      <c r="C114" s="1076"/>
      <c r="D114" s="1076"/>
      <c r="E114" s="1076"/>
      <c r="F114" s="1076"/>
      <c r="G114" s="1076"/>
      <c r="H114" s="1076"/>
      <c r="I114" s="105" t="str">
        <f>'Dynamic VID '!L60</f>
        <v>Yes</v>
      </c>
      <c r="J114" s="65"/>
      <c r="K114" s="65"/>
      <c r="L114" s="65"/>
      <c r="M114" s="65"/>
      <c r="N114" s="65"/>
      <c r="O114" s="65"/>
    </row>
    <row r="115" spans="2:15">
      <c r="B115" s="1076" t="str">
        <f>'Dynamic VID '!D61</f>
        <v>Is the voltage change from 1us to Settled less than the TOB value?</v>
      </c>
      <c r="C115" s="1076"/>
      <c r="D115" s="1076"/>
      <c r="E115" s="1076"/>
      <c r="F115" s="1076"/>
      <c r="G115" s="1076"/>
      <c r="H115" s="1076"/>
      <c r="I115" s="105" t="str">
        <f>'Dynamic VID '!L61</f>
        <v>Yes</v>
      </c>
    </row>
    <row r="116" spans="2:15">
      <c r="B116" s="1076" t="str">
        <f>'Dynamic VID '!D62</f>
        <v>Is the Measured undershoot less than the allowed undershoot?</v>
      </c>
      <c r="C116" s="1076"/>
      <c r="D116" s="1076"/>
      <c r="E116" s="1076"/>
      <c r="F116" s="1076"/>
      <c r="G116" s="1076"/>
      <c r="H116" s="1076"/>
      <c r="I116" s="105" t="str">
        <f>'Dynamic VID '!L62</f>
        <v>Yes</v>
      </c>
    </row>
    <row r="117" spans="2:15">
      <c r="B117" s="1073" t="str">
        <f>'Dynamic VID '!P61</f>
        <v xml:space="preserve">Does the voltage increase waveform above demonstrate that the VR has a controlled and stable response to VID changes? </v>
      </c>
      <c r="C117" s="1073"/>
      <c r="D117" s="1073"/>
      <c r="E117" s="1073"/>
      <c r="F117" s="1073"/>
      <c r="G117" s="1073"/>
      <c r="H117" s="1073"/>
      <c r="I117" s="1074" t="str">
        <f>'Dynamic VID '!W63</f>
        <v>Yes</v>
      </c>
    </row>
    <row r="118" spans="2:15">
      <c r="B118" s="1073"/>
      <c r="C118" s="1073"/>
      <c r="D118" s="1073"/>
      <c r="E118" s="1073"/>
      <c r="F118" s="1073"/>
      <c r="G118" s="1073"/>
      <c r="H118" s="1073"/>
      <c r="I118" s="1074"/>
    </row>
    <row r="119" spans="2:15" hidden="1">
      <c r="B119" s="1073" t="str">
        <f>'Dynamic VID '!Y61</f>
        <v xml:space="preserve">Does the voltage decrease waveform above demonstrate that the VR has a controlled and stable response to VID changes? </v>
      </c>
      <c r="C119" s="1073"/>
      <c r="D119" s="1073"/>
      <c r="E119" s="1073"/>
      <c r="F119" s="1073"/>
      <c r="G119" s="1073"/>
      <c r="H119" s="1073"/>
      <c r="I119" s="1074" t="str">
        <f>'Dynamic VID '!AF63</f>
        <v>Yes</v>
      </c>
    </row>
    <row r="120" spans="2:15">
      <c r="B120" s="1073"/>
      <c r="C120" s="1073"/>
      <c r="D120" s="1073"/>
      <c r="E120" s="1073"/>
      <c r="F120" s="1073"/>
      <c r="G120" s="1073"/>
      <c r="H120" s="1073"/>
      <c r="I120" s="1074"/>
    </row>
    <row r="122" spans="2:15">
      <c r="B122" s="1075" t="str">
        <f>'Dynamic VID '!D70</f>
        <v xml:space="preserve"> PS0 Mode SetVID_Decay Dynamic Voltage  Response Measurements </v>
      </c>
      <c r="C122" s="1075"/>
      <c r="D122" s="1075"/>
      <c r="E122" s="1075"/>
      <c r="F122" s="1075"/>
      <c r="G122" s="1075"/>
      <c r="H122" s="1075"/>
    </row>
    <row r="123" spans="2:15">
      <c r="B123" s="1076" t="str">
        <f>'Dynamic VID '!D94</f>
        <v>Is the time duration from CSO# to Alert both correct and less than the Max duration?</v>
      </c>
      <c r="C123" s="1076"/>
      <c r="D123" s="1076"/>
      <c r="E123" s="1076"/>
      <c r="F123" s="1076"/>
      <c r="G123" s="1076"/>
      <c r="H123" s="1076"/>
      <c r="I123" s="105" t="str">
        <f>'Dynamic VID '!L94</f>
        <v>Yes</v>
      </c>
      <c r="J123" s="65"/>
      <c r="K123" s="65"/>
      <c r="L123" s="65"/>
      <c r="M123" s="65"/>
      <c r="N123" s="65"/>
      <c r="O123" s="65"/>
    </row>
    <row r="124" spans="2:15">
      <c r="B124" s="1076" t="str">
        <f>'Dynamic VID '!D95</f>
        <v>Is the voltage change from 1us to Settled less than the TOB value?</v>
      </c>
      <c r="C124" s="1076"/>
      <c r="D124" s="1076"/>
      <c r="E124" s="1076"/>
      <c r="F124" s="1076"/>
      <c r="G124" s="1076"/>
      <c r="H124" s="1076"/>
      <c r="I124" s="105" t="str">
        <f>'Dynamic VID '!L95</f>
        <v>Yes</v>
      </c>
    </row>
    <row r="125" spans="2:15">
      <c r="B125" s="1076" t="str">
        <f>'Dynamic VID '!D96</f>
        <v>Is the Measured undershoot less than the allowed undershoot?</v>
      </c>
      <c r="C125" s="1076"/>
      <c r="D125" s="1076"/>
      <c r="E125" s="1076"/>
      <c r="F125" s="1076"/>
      <c r="G125" s="1076"/>
      <c r="H125" s="1076"/>
      <c r="I125" s="105" t="str">
        <f>'Dynamic VID '!L96</f>
        <v>Yes</v>
      </c>
    </row>
    <row r="126" spans="2:15" ht="12.75" customHeight="1">
      <c r="B126" s="1073" t="str">
        <f>'Dynamic VID '!D97</f>
        <v>Does the VR decay as expected for the design?</v>
      </c>
      <c r="C126" s="1073"/>
      <c r="D126" s="1073"/>
      <c r="E126" s="1073"/>
      <c r="F126" s="1073"/>
      <c r="G126" s="1073"/>
      <c r="H126" s="1073"/>
      <c r="I126" s="105" t="str">
        <f>'Dynamic VID '!L97</f>
        <v>Yes</v>
      </c>
    </row>
    <row r="127" spans="2:15">
      <c r="B127" s="1076" t="str">
        <f>'Dynamic VID '!D98</f>
        <v>Did Alert# assert at the end of the decay?</v>
      </c>
      <c r="C127" s="1076"/>
      <c r="D127" s="1076"/>
      <c r="E127" s="1076"/>
      <c r="F127" s="1076"/>
      <c r="G127" s="1076"/>
      <c r="H127" s="1076"/>
      <c r="I127" s="105" t="str">
        <f>'Dynamic VID '!L98</f>
        <v>Yes</v>
      </c>
    </row>
    <row r="128" spans="2:15">
      <c r="B128" s="1073" t="str">
        <f>'Dynamic VID '!P96</f>
        <v xml:space="preserve">Does the voltage increase waveform above demonstrate that the VR has a controlled and stable response to VID changes? </v>
      </c>
      <c r="C128" s="1073"/>
      <c r="D128" s="1073"/>
      <c r="E128" s="1073"/>
      <c r="F128" s="1073"/>
      <c r="G128" s="1073"/>
      <c r="H128" s="1073"/>
      <c r="I128" s="1074" t="str">
        <f>'Dynamic VID '!W98</f>
        <v>Yes</v>
      </c>
    </row>
    <row r="129" spans="2:9">
      <c r="B129" s="1073"/>
      <c r="C129" s="1073"/>
      <c r="D129" s="1073"/>
      <c r="E129" s="1073"/>
      <c r="F129" s="1073"/>
      <c r="G129" s="1073"/>
      <c r="H129" s="1073"/>
      <c r="I129" s="1074"/>
    </row>
    <row r="130" spans="2:9" hidden="1">
      <c r="B130" s="1073" t="str">
        <f>'Dynamic VID '!Y96</f>
        <v xml:space="preserve">Does the voltage decrease waveform above demonstrate that the VR has a controlled and stable response to VID changes? </v>
      </c>
      <c r="C130" s="1073"/>
      <c r="D130" s="1073"/>
      <c r="E130" s="1073"/>
      <c r="F130" s="1073"/>
      <c r="G130" s="1073"/>
      <c r="H130" s="1073"/>
      <c r="I130" s="1074" t="str">
        <f>'Dynamic VID '!AF98</f>
        <v>Yes</v>
      </c>
    </row>
    <row r="131" spans="2:9">
      <c r="B131" s="1073"/>
      <c r="C131" s="1073"/>
      <c r="D131" s="1073"/>
      <c r="E131" s="1073"/>
      <c r="F131" s="1073"/>
      <c r="G131" s="1073"/>
      <c r="H131" s="1073"/>
      <c r="I131" s="1074"/>
    </row>
    <row r="134" spans="2:9">
      <c r="B134" s="1075" t="str">
        <f>'Dynamic VID '!D105</f>
        <v xml:space="preserve"> PS1 Mode SetVID_Fast Dynamic Voltage Response Measurements </v>
      </c>
      <c r="C134" s="1075"/>
      <c r="D134" s="1075"/>
      <c r="E134" s="1075"/>
      <c r="F134" s="1075"/>
      <c r="G134" s="1075"/>
      <c r="H134" s="1075"/>
    </row>
    <row r="135" spans="2:9">
      <c r="B135" s="1076" t="str">
        <f>'Dynamic VID '!D126</f>
        <v>Is the time duration from CSO# to Alert both correct and less than the Max duration?</v>
      </c>
      <c r="C135" s="1076"/>
      <c r="D135" s="1076"/>
      <c r="E135" s="1076"/>
      <c r="F135" s="1076"/>
      <c r="G135" s="1076"/>
      <c r="H135" s="1076"/>
      <c r="I135" s="105" t="str">
        <f>'Dynamic VID '!L126</f>
        <v>Yes</v>
      </c>
    </row>
    <row r="136" spans="2:9">
      <c r="B136" s="1076" t="str">
        <f>'Dynamic VID '!D127</f>
        <v>Is the voltage change from 1us to Settled less than the TOB value?</v>
      </c>
      <c r="C136" s="1076"/>
      <c r="D136" s="1076"/>
      <c r="E136" s="1076"/>
      <c r="F136" s="1076"/>
      <c r="G136" s="1076"/>
      <c r="H136" s="1076"/>
      <c r="I136" s="105" t="str">
        <f>'Dynamic VID '!L127</f>
        <v>Yes</v>
      </c>
    </row>
    <row r="137" spans="2:9">
      <c r="B137" s="1076" t="str">
        <f>'Dynamic VID '!D128</f>
        <v>Is the Measured undershoot less than the allowed undershoot?</v>
      </c>
      <c r="C137" s="1076"/>
      <c r="D137" s="1076"/>
      <c r="E137" s="1076"/>
      <c r="F137" s="1076"/>
      <c r="G137" s="1076"/>
      <c r="H137" s="1076"/>
      <c r="I137" s="105" t="str">
        <f>'Dynamic VID '!L128</f>
        <v>Yes</v>
      </c>
    </row>
    <row r="138" spans="2:9">
      <c r="B138" s="1073" t="str">
        <f>'Dynamic VID '!P127</f>
        <v xml:space="preserve">Does the voltage increase waveform above demonstrate that the VR has a controlled and stable response to VID changes? </v>
      </c>
      <c r="C138" s="1073"/>
      <c r="D138" s="1073"/>
      <c r="E138" s="1073"/>
      <c r="F138" s="1073"/>
      <c r="G138" s="1073"/>
      <c r="H138" s="1073"/>
      <c r="I138" s="1074" t="str">
        <f>'Dynamic VID '!W129</f>
        <v>Yes</v>
      </c>
    </row>
    <row r="139" spans="2:9">
      <c r="B139" s="1073"/>
      <c r="C139" s="1073"/>
      <c r="D139" s="1073"/>
      <c r="E139" s="1073"/>
      <c r="F139" s="1073"/>
      <c r="G139" s="1073"/>
      <c r="H139" s="1073"/>
      <c r="I139" s="1074"/>
    </row>
    <row r="140" spans="2:9" ht="13.15" hidden="1" customHeight="1">
      <c r="B140" s="1073">
        <f>'Dynamic VID '!P129</f>
        <v>0</v>
      </c>
      <c r="C140" s="1073"/>
      <c r="D140" s="1073"/>
      <c r="E140" s="1073"/>
      <c r="F140" s="1073"/>
      <c r="G140" s="1073"/>
      <c r="H140" s="1073"/>
      <c r="I140" s="1074">
        <f>'Dynamic VID '!W131</f>
        <v>0</v>
      </c>
    </row>
    <row r="141" spans="2:9" ht="13.15" hidden="1" customHeight="1">
      <c r="B141" s="1073"/>
      <c r="C141" s="1073"/>
      <c r="D141" s="1073"/>
      <c r="E141" s="1073"/>
      <c r="F141" s="1073"/>
      <c r="G141" s="1073"/>
      <c r="H141" s="1073"/>
      <c r="I141" s="1074"/>
    </row>
    <row r="142" spans="2:9">
      <c r="B142" s="1073" t="str">
        <f>'Dynamic VID '!Y127</f>
        <v xml:space="preserve">Does the voltage decrease waveform above demonstrate that the VR has a controlled and stable response to VID changes? </v>
      </c>
      <c r="C142" s="1073"/>
      <c r="D142" s="1073"/>
      <c r="E142" s="1073"/>
      <c r="F142" s="1073"/>
      <c r="G142" s="1073"/>
      <c r="H142" s="1073"/>
      <c r="I142" s="1074" t="str">
        <f>'Dynamic VID '!AF129</f>
        <v>Yes</v>
      </c>
    </row>
    <row r="143" spans="2:9">
      <c r="B143" s="1073"/>
      <c r="C143" s="1073"/>
      <c r="D143" s="1073"/>
      <c r="E143" s="1073"/>
      <c r="F143" s="1073"/>
      <c r="G143" s="1073"/>
      <c r="H143" s="1073"/>
      <c r="I143" s="1074"/>
    </row>
    <row r="144" spans="2:9">
      <c r="I144" s="597"/>
    </row>
    <row r="146" spans="2:9">
      <c r="B146" s="1075" t="str">
        <f>'Dynamic VID '!D136</f>
        <v xml:space="preserve"> PS2 Mode SetVID_Fast Dynamic Voltage Response Measurements </v>
      </c>
      <c r="C146" s="1075"/>
      <c r="D146" s="1075"/>
      <c r="E146" s="1075"/>
      <c r="F146" s="1075"/>
      <c r="G146" s="1075"/>
      <c r="H146" s="1075"/>
    </row>
    <row r="147" spans="2:9">
      <c r="B147" s="1076" t="str">
        <f>'Dynamic VID '!D158</f>
        <v>Is the time duration from CSO# to Alert both correct and less than the Max duration?</v>
      </c>
      <c r="C147" s="1076"/>
      <c r="D147" s="1076"/>
      <c r="E147" s="1076"/>
      <c r="F147" s="1076"/>
      <c r="G147" s="1076"/>
      <c r="H147" s="1076"/>
      <c r="I147" s="105" t="str">
        <f>'Dynamic VID '!L158</f>
        <v>Yes</v>
      </c>
    </row>
    <row r="148" spans="2:9">
      <c r="B148" s="1076" t="str">
        <f>'Dynamic VID '!D159</f>
        <v>Is the voltage change from 1us to Settled less than the TOB value?</v>
      </c>
      <c r="C148" s="1076"/>
      <c r="D148" s="1076"/>
      <c r="E148" s="1076"/>
      <c r="F148" s="1076"/>
      <c r="G148" s="1076"/>
      <c r="H148" s="1076"/>
      <c r="I148" s="105" t="str">
        <f>'Dynamic VID '!L159</f>
        <v>Yes</v>
      </c>
    </row>
    <row r="149" spans="2:9">
      <c r="B149" s="1076" t="str">
        <f>'Dynamic VID '!D160</f>
        <v>Is the Measured undershoot less than the allowed undershoot?</v>
      </c>
      <c r="C149" s="1076"/>
      <c r="D149" s="1076"/>
      <c r="E149" s="1076"/>
      <c r="F149" s="1076"/>
      <c r="G149" s="1076"/>
      <c r="H149" s="1076"/>
      <c r="I149" s="105" t="str">
        <f>'Dynamic VID '!L160</f>
        <v>Yes</v>
      </c>
    </row>
    <row r="150" spans="2:9">
      <c r="B150" s="1073" t="str">
        <f>'Dynamic VID '!P159</f>
        <v xml:space="preserve">Does the voltage increase waveform above demonstrate that the VR has a controlled and stable response to VID changes? </v>
      </c>
      <c r="C150" s="1073"/>
      <c r="D150" s="1073"/>
      <c r="E150" s="1073"/>
      <c r="F150" s="1073"/>
      <c r="G150" s="1073"/>
      <c r="H150" s="1073"/>
      <c r="I150" s="1074" t="str">
        <f>'Dynamic VID '!W161</f>
        <v>Yes</v>
      </c>
    </row>
    <row r="151" spans="2:9">
      <c r="B151" s="1073"/>
      <c r="C151" s="1073"/>
      <c r="D151" s="1073"/>
      <c r="E151" s="1073"/>
      <c r="F151" s="1073"/>
      <c r="G151" s="1073"/>
      <c r="H151" s="1073"/>
      <c r="I151" s="1074"/>
    </row>
    <row r="152" spans="2:9" ht="13.15" hidden="1" customHeight="1">
      <c r="B152" s="1073" t="str">
        <f>'Dynamic VID '!Y159</f>
        <v xml:space="preserve">Does the voltage decrease waveform above demonstrate that the VR has a controlled and stable response to VID changes? </v>
      </c>
      <c r="C152" s="1073"/>
      <c r="D152" s="1073"/>
      <c r="E152" s="1073"/>
      <c r="F152" s="1073"/>
      <c r="G152" s="1073"/>
      <c r="H152" s="1073"/>
      <c r="I152" s="1074" t="str">
        <f>'Dynamic VID '!AF161</f>
        <v>Yes</v>
      </c>
    </row>
    <row r="153" spans="2:9">
      <c r="B153" s="1073"/>
      <c r="C153" s="1073"/>
      <c r="D153" s="1073"/>
      <c r="E153" s="1073"/>
      <c r="F153" s="1073"/>
      <c r="G153" s="1073"/>
      <c r="H153" s="1073"/>
      <c r="I153" s="1074"/>
    </row>
    <row r="154" spans="2:9">
      <c r="B154" s="1073"/>
      <c r="C154" s="1073"/>
      <c r="D154" s="1073"/>
      <c r="E154" s="1073"/>
      <c r="F154" s="1073"/>
      <c r="G154" s="1073"/>
      <c r="H154" s="1073"/>
      <c r="I154" s="1074"/>
    </row>
    <row r="156" spans="2:9">
      <c r="B156" s="1075" t="str">
        <f>'Dynamic VID '!D168</f>
        <v xml:space="preserve"> PS3 Mode SetVID_Fast Dynamic Voltage Response Measurements </v>
      </c>
      <c r="C156" s="1075"/>
      <c r="D156" s="1075"/>
      <c r="E156" s="1075"/>
      <c r="F156" s="1075"/>
      <c r="G156" s="1075"/>
      <c r="H156" s="1075"/>
    </row>
    <row r="157" spans="2:9">
      <c r="B157" s="1076" t="str">
        <f>'Dynamic VID '!D190</f>
        <v>Is the time duration from CSO# to Alert both correct and less than the Max duration?</v>
      </c>
      <c r="C157" s="1076"/>
      <c r="D157" s="1076"/>
      <c r="E157" s="1076"/>
      <c r="F157" s="1076"/>
      <c r="G157" s="1076"/>
      <c r="H157" s="1076"/>
      <c r="I157" s="105" t="str">
        <f>'Dynamic VID '!L190</f>
        <v>Yes</v>
      </c>
    </row>
    <row r="158" spans="2:9">
      <c r="B158" s="1076" t="str">
        <f>'Dynamic VID '!D191</f>
        <v>Is the voltage change from 1us to Settled less than the TOB value?</v>
      </c>
      <c r="C158" s="1076"/>
      <c r="D158" s="1076"/>
      <c r="E158" s="1076"/>
      <c r="F158" s="1076"/>
      <c r="G158" s="1076"/>
      <c r="H158" s="1076"/>
      <c r="I158" s="105" t="str">
        <f>'Dynamic VID '!L191</f>
        <v>Yes</v>
      </c>
    </row>
    <row r="159" spans="2:9">
      <c r="B159" s="1076" t="str">
        <f>'Dynamic VID '!D192</f>
        <v>Is the Measured undershoot less than the allowed undershoot?</v>
      </c>
      <c r="C159" s="1076"/>
      <c r="D159" s="1076"/>
      <c r="E159" s="1076"/>
      <c r="F159" s="1076"/>
      <c r="G159" s="1076"/>
      <c r="H159" s="1076"/>
      <c r="I159" s="105" t="str">
        <f>'Dynamic VID '!L192</f>
        <v>Yes</v>
      </c>
    </row>
    <row r="160" spans="2:9">
      <c r="B160" s="1073" t="str">
        <f>'Dynamic VID '!P191</f>
        <v xml:space="preserve">Does the voltage increase waveform above demonstrate that the VR has a controlled and stable response to VID changes? </v>
      </c>
      <c r="C160" s="1073"/>
      <c r="D160" s="1073"/>
      <c r="E160" s="1073"/>
      <c r="F160" s="1073"/>
      <c r="G160" s="1073"/>
      <c r="H160" s="1073"/>
      <c r="I160" s="1074" t="str">
        <f>'Dynamic VID '!W193</f>
        <v>Yes</v>
      </c>
    </row>
    <row r="161" spans="2:9">
      <c r="B161" s="1073"/>
      <c r="C161" s="1073"/>
      <c r="D161" s="1073"/>
      <c r="E161" s="1073"/>
      <c r="F161" s="1073"/>
      <c r="G161" s="1073"/>
      <c r="H161" s="1073"/>
      <c r="I161" s="1074"/>
    </row>
    <row r="162" spans="2:9">
      <c r="B162" s="1073" t="str">
        <f>'Dynamic VID '!Y191</f>
        <v xml:space="preserve">Does the voltage decrease waveform above demonstrate that the VR has a controlled and stable response to VID changes? </v>
      </c>
      <c r="C162" s="1073"/>
      <c r="D162" s="1073"/>
      <c r="E162" s="1073"/>
      <c r="F162" s="1073"/>
      <c r="G162" s="1073"/>
      <c r="H162" s="1073"/>
      <c r="I162" s="1074" t="str">
        <f>'Dynamic VID '!AF193</f>
        <v>Yes</v>
      </c>
    </row>
    <row r="163" spans="2:9">
      <c r="B163" s="1073"/>
      <c r="C163" s="1073"/>
      <c r="D163" s="1073"/>
      <c r="E163" s="1073"/>
      <c r="F163" s="1073"/>
      <c r="G163" s="1073"/>
      <c r="H163" s="1073"/>
      <c r="I163" s="1074"/>
    </row>
    <row r="166" spans="2:9">
      <c r="B166" s="1081" t="str">
        <f>'Dynamic VID '!D200</f>
        <v xml:space="preserve"> PS4 Mode SetVID_Fast Dynamic Voltage Response Measurements </v>
      </c>
      <c r="C166" s="1081"/>
      <c r="D166" s="1081"/>
      <c r="E166" s="1081"/>
      <c r="F166" s="1081"/>
      <c r="G166" s="1081"/>
      <c r="H166" s="1081"/>
    </row>
    <row r="167" spans="2:9">
      <c r="B167" s="1076" t="str">
        <f>'Dynamic VID '!D217</f>
        <v>Is the time duration from CSO# to Alert both correct and less than the Max duration?</v>
      </c>
      <c r="C167" s="1076"/>
      <c r="D167" s="1076"/>
      <c r="E167" s="1076"/>
      <c r="F167" s="1076"/>
      <c r="G167" s="1076"/>
      <c r="H167" s="1076"/>
      <c r="I167" s="105" t="str">
        <f>'Dynamic VID '!L217</f>
        <v>Yes</v>
      </c>
    </row>
    <row r="168" spans="2:9">
      <c r="B168" s="608" t="str">
        <f>'Dynamic VID '!D218</f>
        <v>Is the measured overshoot both correct and less than the maximum overshoot allowed?</v>
      </c>
      <c r="C168" s="608"/>
      <c r="D168" s="608"/>
      <c r="E168" s="608"/>
      <c r="F168" s="608"/>
      <c r="G168" s="608"/>
      <c r="H168" s="608"/>
      <c r="I168" s="609" t="str">
        <f>'Dynamic VID '!L218</f>
        <v>Yes</v>
      </c>
    </row>
    <row r="169" spans="2:9">
      <c r="B169" s="608" t="str">
        <f>'Dynamic VID '!D219</f>
        <v>Is the time duration of the overshoot both correct and less than the maximum duration?</v>
      </c>
      <c r="C169" s="608"/>
      <c r="D169" s="608"/>
      <c r="E169" s="608"/>
      <c r="F169" s="608"/>
      <c r="G169" s="608"/>
      <c r="H169" s="608"/>
      <c r="I169" s="609" t="str">
        <f>'Dynamic VID '!L219</f>
        <v>Yes</v>
      </c>
    </row>
    <row r="171" spans="2:9">
      <c r="I171"/>
    </row>
    <row r="172" spans="2:9" ht="17.25" customHeight="1">
      <c r="C172" s="1078" t="s">
        <v>472</v>
      </c>
      <c r="D172" s="1078"/>
      <c r="E172" s="1078"/>
      <c r="F172" s="1078"/>
      <c r="I172"/>
    </row>
    <row r="173" spans="2:9" hidden="1">
      <c r="I173"/>
    </row>
    <row r="174" spans="2:9">
      <c r="I174"/>
    </row>
    <row r="175" spans="2:9">
      <c r="B175" t="str">
        <f>Psys!K5</f>
        <v>Is the Psys data within the tolerance limits?</v>
      </c>
      <c r="I175" s="674" t="str">
        <f>Psys!Q5</f>
        <v>Yes</v>
      </c>
    </row>
    <row r="177" spans="2:9" ht="20.25">
      <c r="C177" s="1078" t="s">
        <v>496</v>
      </c>
      <c r="D177" s="1078"/>
      <c r="E177" s="1078"/>
      <c r="F177" s="1078"/>
      <c r="I177"/>
    </row>
    <row r="178" spans="2:9">
      <c r="I178"/>
    </row>
    <row r="179" spans="2:9">
      <c r="B179" t="str">
        <f>Accuracy!C3</f>
        <v>At time 300us / 2000us, is the Iout value within the limits?</v>
      </c>
      <c r="I179" s="673" t="str">
        <f>Accuracy!L3</f>
        <v>Yes</v>
      </c>
    </row>
  </sheetData>
  <mergeCells count="139">
    <mergeCell ref="C177:F177"/>
    <mergeCell ref="B20:H20"/>
    <mergeCell ref="B21:H21"/>
    <mergeCell ref="B28:H28"/>
    <mergeCell ref="I50:I51"/>
    <mergeCell ref="B44:H44"/>
    <mergeCell ref="B54:H54"/>
    <mergeCell ref="I55:I56"/>
    <mergeCell ref="I87:I88"/>
    <mergeCell ref="I46:I47"/>
    <mergeCell ref="B83:G83"/>
    <mergeCell ref="B87:H88"/>
    <mergeCell ref="I64:I65"/>
    <mergeCell ref="I48:I49"/>
    <mergeCell ref="B77:H77"/>
    <mergeCell ref="B50:H51"/>
    <mergeCell ref="B48:H49"/>
    <mergeCell ref="B62:H62"/>
    <mergeCell ref="I71:I72"/>
    <mergeCell ref="I73:I74"/>
    <mergeCell ref="B78:H79"/>
    <mergeCell ref="B57:H58"/>
    <mergeCell ref="B45:H45"/>
    <mergeCell ref="B42:H42"/>
    <mergeCell ref="I85:I86"/>
    <mergeCell ref="I78:I79"/>
    <mergeCell ref="B90:G90"/>
    <mergeCell ref="B91:H91"/>
    <mergeCell ref="B92:H93"/>
    <mergeCell ref="I92:I93"/>
    <mergeCell ref="B104:H104"/>
    <mergeCell ref="B84:H84"/>
    <mergeCell ref="B94:H95"/>
    <mergeCell ref="I94:I95"/>
    <mergeCell ref="B97:G97"/>
    <mergeCell ref="B98:H98"/>
    <mergeCell ref="B9:H9"/>
    <mergeCell ref="B13:H13"/>
    <mergeCell ref="C172:F172"/>
    <mergeCell ref="B135:H135"/>
    <mergeCell ref="I57:I58"/>
    <mergeCell ref="B166:H166"/>
    <mergeCell ref="B167:H167"/>
    <mergeCell ref="B107:H107"/>
    <mergeCell ref="B116:H116"/>
    <mergeCell ref="B125:H125"/>
    <mergeCell ref="B137:H137"/>
    <mergeCell ref="B149:H149"/>
    <mergeCell ref="B70:H70"/>
    <mergeCell ref="B127:H127"/>
    <mergeCell ref="B63:H63"/>
    <mergeCell ref="B128:H129"/>
    <mergeCell ref="B66:H67"/>
    <mergeCell ref="B108:H109"/>
    <mergeCell ref="B64:H65"/>
    <mergeCell ref="I80:I81"/>
    <mergeCell ref="I66:I67"/>
    <mergeCell ref="B110:H111"/>
    <mergeCell ref="B99:H99"/>
    <mergeCell ref="I59:I60"/>
    <mergeCell ref="B2:C2"/>
    <mergeCell ref="B15:H15"/>
    <mergeCell ref="B16:H16"/>
    <mergeCell ref="B17:H17"/>
    <mergeCell ref="B37:H37"/>
    <mergeCell ref="B27:H27"/>
    <mergeCell ref="B29:H29"/>
    <mergeCell ref="B18:H18"/>
    <mergeCell ref="B8:H8"/>
    <mergeCell ref="C11:D11"/>
    <mergeCell ref="B35:H35"/>
    <mergeCell ref="B36:H36"/>
    <mergeCell ref="B34:H34"/>
    <mergeCell ref="B25:H25"/>
    <mergeCell ref="B14:H14"/>
    <mergeCell ref="B32:H32"/>
    <mergeCell ref="B23:H23"/>
    <mergeCell ref="B30:H30"/>
    <mergeCell ref="B31:H31"/>
    <mergeCell ref="B24:H24"/>
    <mergeCell ref="B26:H26"/>
    <mergeCell ref="B7:H7"/>
    <mergeCell ref="C5:F5"/>
    <mergeCell ref="B22:H22"/>
    <mergeCell ref="B136:H136"/>
    <mergeCell ref="B117:H118"/>
    <mergeCell ref="B126:H126"/>
    <mergeCell ref="B122:H122"/>
    <mergeCell ref="B123:H123"/>
    <mergeCell ref="B105:H105"/>
    <mergeCell ref="I108:I109"/>
    <mergeCell ref="I110:I111"/>
    <mergeCell ref="I128:I129"/>
    <mergeCell ref="B130:H131"/>
    <mergeCell ref="I130:I131"/>
    <mergeCell ref="B134:H134"/>
    <mergeCell ref="B124:H124"/>
    <mergeCell ref="I117:I118"/>
    <mergeCell ref="B119:H120"/>
    <mergeCell ref="I119:I120"/>
    <mergeCell ref="B113:H113"/>
    <mergeCell ref="B114:H114"/>
    <mergeCell ref="B106:H106"/>
    <mergeCell ref="B115:H115"/>
    <mergeCell ref="B38:H38"/>
    <mergeCell ref="C40:F40"/>
    <mergeCell ref="B69:H69"/>
    <mergeCell ref="B59:H60"/>
    <mergeCell ref="B55:H56"/>
    <mergeCell ref="B46:H47"/>
    <mergeCell ref="C102:F102"/>
    <mergeCell ref="B76:G76"/>
    <mergeCell ref="B80:H81"/>
    <mergeCell ref="B53:H53"/>
    <mergeCell ref="B85:H86"/>
    <mergeCell ref="B71:H72"/>
    <mergeCell ref="B73:H74"/>
    <mergeCell ref="B43:H43"/>
    <mergeCell ref="B162:H163"/>
    <mergeCell ref="I162:I163"/>
    <mergeCell ref="I150:I151"/>
    <mergeCell ref="B156:H156"/>
    <mergeCell ref="B157:H157"/>
    <mergeCell ref="B158:H158"/>
    <mergeCell ref="I138:I139"/>
    <mergeCell ref="B140:H141"/>
    <mergeCell ref="I140:I141"/>
    <mergeCell ref="B160:H161"/>
    <mergeCell ref="B148:H148"/>
    <mergeCell ref="I160:I161"/>
    <mergeCell ref="B146:H146"/>
    <mergeCell ref="B147:H147"/>
    <mergeCell ref="B150:H151"/>
    <mergeCell ref="B159:H159"/>
    <mergeCell ref="B138:H139"/>
    <mergeCell ref="B142:H143"/>
    <mergeCell ref="I142:I143"/>
    <mergeCell ref="B152:H154"/>
    <mergeCell ref="I152:I154"/>
  </mergeCells>
  <phoneticPr fontId="8" type="noConversion"/>
  <conditionalFormatting sqref="I77:I78 I83:I85 I26:I31 I33:I37 I179:I65548 I170 I5:I24 I80:I81 I94 I39:I75 I87:I92 I96:I101 I103:I152 I155:I165">
    <cfRule type="cellIs" dxfId="68" priority="37" stopIfTrue="1" operator="equal">
      <formula>"Yes"</formula>
    </cfRule>
    <cfRule type="cellIs" dxfId="67" priority="38" stopIfTrue="1" operator="equal">
      <formula>"No"</formula>
    </cfRule>
    <cfRule type="cellIs" dxfId="66" priority="39" stopIfTrue="1" operator="equal">
      <formula>"Y/N"</formula>
    </cfRule>
  </conditionalFormatting>
  <conditionalFormatting sqref="E3">
    <cfRule type="cellIs" dxfId="65" priority="24" stopIfTrue="1" operator="greaterThanOrEqual">
      <formula>1</formula>
    </cfRule>
  </conditionalFormatting>
  <conditionalFormatting sqref="I25">
    <cfRule type="cellIs" dxfId="64" priority="15" stopIfTrue="1" operator="equal">
      <formula>"Yes"</formula>
    </cfRule>
    <cfRule type="cellIs" dxfId="63" priority="16" stopIfTrue="1" operator="equal">
      <formula>"No"</formula>
    </cfRule>
    <cfRule type="cellIs" dxfId="62" priority="17" stopIfTrue="1" operator="equal">
      <formula>"Y/N"</formula>
    </cfRule>
  </conditionalFormatting>
  <conditionalFormatting sqref="I32">
    <cfRule type="cellIs" dxfId="61" priority="12" stopIfTrue="1" operator="equal">
      <formula>"Yes"</formula>
    </cfRule>
    <cfRule type="cellIs" dxfId="60" priority="13" stopIfTrue="1" operator="equal">
      <formula>"No"</formula>
    </cfRule>
    <cfRule type="cellIs" dxfId="59" priority="14" stopIfTrue="1" operator="equal">
      <formula>"Y/N"</formula>
    </cfRule>
  </conditionalFormatting>
  <conditionalFormatting sqref="I38">
    <cfRule type="cellIs" dxfId="58" priority="9" stopIfTrue="1" operator="equal">
      <formula>"Yes"</formula>
    </cfRule>
    <cfRule type="cellIs" dxfId="57" priority="10" stopIfTrue="1" operator="equal">
      <formula>"No"</formula>
    </cfRule>
    <cfRule type="cellIs" dxfId="56" priority="11" stopIfTrue="1" operator="equal">
      <formula>"Y/N"</formula>
    </cfRule>
  </conditionalFormatting>
  <conditionalFormatting sqref="I8">
    <cfRule type="cellIs" dxfId="55" priority="7" stopIfTrue="1" operator="equal">
      <formula>"Fail"</formula>
    </cfRule>
    <cfRule type="cellIs" dxfId="54" priority="8" stopIfTrue="1" operator="equal">
      <formula>"Pass"</formula>
    </cfRule>
  </conditionalFormatting>
  <conditionalFormatting sqref="I166:I169">
    <cfRule type="cellIs" dxfId="53" priority="4" stopIfTrue="1" operator="equal">
      <formula>"Yes"</formula>
    </cfRule>
    <cfRule type="cellIs" dxfId="52" priority="5" stopIfTrue="1" operator="equal">
      <formula>"No"</formula>
    </cfRule>
    <cfRule type="cellIs" dxfId="51" priority="6" stopIfTrue="1" operator="equal">
      <formula>"Y/N"</formula>
    </cfRule>
  </conditionalFormatting>
  <conditionalFormatting sqref="I175:I176">
    <cfRule type="cellIs" dxfId="50" priority="1" stopIfTrue="1" operator="equal">
      <formula>"Yes"</formula>
    </cfRule>
    <cfRule type="cellIs" dxfId="49" priority="2" stopIfTrue="1" operator="equal">
      <formula>"No"</formula>
    </cfRule>
    <cfRule type="cellIs" dxfId="48" priority="3" stopIfTrue="1" operator="equal">
      <formula>"Y/N"</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Sheet15"/>
  <dimension ref="B1:AB118"/>
  <sheetViews>
    <sheetView topLeftCell="G16" zoomScaleNormal="100" workbookViewId="0">
      <selection activeCell="Q24" sqref="Q24"/>
    </sheetView>
  </sheetViews>
  <sheetFormatPr defaultRowHeight="12.75"/>
  <cols>
    <col min="1" max="1" width="2.7109375" customWidth="1"/>
    <col min="2" max="2" width="1.85546875" customWidth="1"/>
    <col min="5" max="5" width="12.28515625" customWidth="1"/>
    <col min="7" max="7" width="13" customWidth="1"/>
    <col min="8" max="8" width="9.7109375" style="418" customWidth="1"/>
    <col min="9" max="9" width="18" customWidth="1"/>
    <col min="10" max="10" width="9.42578125" customWidth="1"/>
    <col min="11" max="11" width="13.42578125" customWidth="1"/>
    <col min="15" max="15" width="10.7109375" customWidth="1"/>
    <col min="16" max="16" width="11.7109375" customWidth="1"/>
    <col min="17" max="17" width="10.7109375" customWidth="1"/>
    <col min="18" max="18" width="15.5703125" customWidth="1"/>
    <col min="19" max="20" width="11.28515625" customWidth="1"/>
    <col min="25" max="25" width="13.42578125" customWidth="1"/>
    <col min="26" max="26" width="14.85546875" customWidth="1"/>
    <col min="27" max="27" width="18.28515625" customWidth="1"/>
  </cols>
  <sheetData>
    <row r="1" spans="3:28">
      <c r="F1" s="13"/>
    </row>
    <row r="2" spans="3:28" ht="16.5">
      <c r="C2" s="316" t="s">
        <v>308</v>
      </c>
      <c r="F2" s="317" t="s">
        <v>244</v>
      </c>
    </row>
    <row r="3" spans="3:28" ht="13.5" thickBot="1">
      <c r="F3" s="13"/>
    </row>
    <row r="4" spans="3:28" ht="17.25" thickBot="1">
      <c r="C4" s="318" t="s">
        <v>245</v>
      </c>
      <c r="F4" s="13"/>
    </row>
    <row r="5" spans="3:28" ht="31.5">
      <c r="C5" s="319"/>
      <c r="D5" s="320" t="s">
        <v>246</v>
      </c>
      <c r="E5" s="320" t="s">
        <v>247</v>
      </c>
      <c r="F5" s="320" t="s">
        <v>248</v>
      </c>
      <c r="G5" s="321" t="s">
        <v>249</v>
      </c>
      <c r="H5" s="321" t="s">
        <v>250</v>
      </c>
      <c r="I5" s="322" t="s">
        <v>251</v>
      </c>
      <c r="J5" s="322" t="s">
        <v>252</v>
      </c>
      <c r="K5" s="322" t="s">
        <v>253</v>
      </c>
      <c r="L5" s="322" t="s">
        <v>254</v>
      </c>
      <c r="M5" s="322" t="s">
        <v>255</v>
      </c>
      <c r="N5" s="323" t="s">
        <v>256</v>
      </c>
    </row>
    <row r="6" spans="3:28" ht="16.5" thickBot="1">
      <c r="C6" s="324" t="s">
        <v>257</v>
      </c>
      <c r="D6" s="315" t="s">
        <v>258</v>
      </c>
      <c r="E6" s="325">
        <f>'Spec Entry'!D12</f>
        <v>81</v>
      </c>
      <c r="F6" s="326" t="str">
        <f>HEX2BIN($E6,8)</f>
        <v>10000001</v>
      </c>
      <c r="G6" s="327">
        <f>VALUE(MID($F6,1,1))</f>
        <v>1</v>
      </c>
      <c r="H6" s="419">
        <f>VALUE(MID($F6,2,1))</f>
        <v>0</v>
      </c>
      <c r="I6" s="327">
        <f>VALUE(MID($F6,3,1))</f>
        <v>0</v>
      </c>
      <c r="J6" s="327">
        <f>VALUE(MID($F6,4,1))</f>
        <v>0</v>
      </c>
      <c r="K6" s="327">
        <f>VALUE(MID($F6,5,1))</f>
        <v>0</v>
      </c>
      <c r="L6" s="327">
        <f>VALUE(MID($F6,6,1))</f>
        <v>0</v>
      </c>
      <c r="M6" s="327">
        <f>VALUE(MID($F6,7,1))</f>
        <v>0</v>
      </c>
      <c r="N6" s="328">
        <f>VALUE(MID($F6,8,1))</f>
        <v>1</v>
      </c>
      <c r="Q6" s="379"/>
    </row>
    <row r="7" spans="3:28" ht="47.25">
      <c r="C7" s="329"/>
      <c r="D7" s="13"/>
      <c r="E7" s="13"/>
      <c r="F7" s="13"/>
      <c r="G7" s="330" t="s">
        <v>259</v>
      </c>
      <c r="H7" s="331" t="s">
        <v>260</v>
      </c>
      <c r="I7" s="331" t="s">
        <v>261</v>
      </c>
      <c r="J7" s="331" t="s">
        <v>262</v>
      </c>
      <c r="K7" s="331" t="s">
        <v>263</v>
      </c>
      <c r="L7" s="331" t="s">
        <v>264</v>
      </c>
      <c r="M7" s="331" t="s">
        <v>265</v>
      </c>
      <c r="N7" s="332" t="s">
        <v>266</v>
      </c>
      <c r="X7" s="62"/>
      <c r="Y7" s="62"/>
      <c r="Z7" s="62"/>
      <c r="AA7" s="62"/>
    </row>
    <row r="8" spans="3:28" ht="16.5" thickBot="1">
      <c r="C8" s="329"/>
      <c r="D8" s="13"/>
      <c r="E8" s="13"/>
      <c r="F8" s="13"/>
      <c r="G8" s="364" t="str">
        <f>IF(G6=0,"1A/LSB", "FFh=IccMax")</f>
        <v>FFh=IccMax</v>
      </c>
      <c r="H8" s="420" t="str">
        <f t="shared" ref="H8:N8" si="0">IF(H6=0,"N/A", "Available")</f>
        <v>N/A</v>
      </c>
      <c r="I8" s="333" t="str">
        <f t="shared" si="0"/>
        <v>N/A</v>
      </c>
      <c r="J8" s="333" t="str">
        <f t="shared" si="0"/>
        <v>N/A</v>
      </c>
      <c r="K8" s="333" t="str">
        <f t="shared" si="0"/>
        <v>N/A</v>
      </c>
      <c r="L8" s="333" t="str">
        <f t="shared" si="0"/>
        <v>N/A</v>
      </c>
      <c r="M8" s="333" t="str">
        <f t="shared" si="0"/>
        <v>N/A</v>
      </c>
      <c r="N8" s="334" t="str">
        <f t="shared" si="0"/>
        <v>Available</v>
      </c>
      <c r="Q8" s="380"/>
      <c r="X8" s="62"/>
      <c r="Y8" s="62"/>
      <c r="Z8" s="62"/>
      <c r="AA8" s="62"/>
    </row>
    <row r="9" spans="3:28" ht="15.75">
      <c r="C9" s="329"/>
      <c r="D9" s="13"/>
      <c r="E9" s="13"/>
      <c r="F9" s="13"/>
      <c r="G9" s="13"/>
      <c r="H9" s="417"/>
      <c r="I9" s="13"/>
      <c r="J9" s="13"/>
      <c r="K9" s="13"/>
      <c r="L9" s="13"/>
      <c r="M9" s="13"/>
      <c r="N9" s="13"/>
      <c r="O9" s="13"/>
      <c r="P9" s="13"/>
      <c r="Q9" s="13"/>
      <c r="R9" s="13"/>
      <c r="S9" s="13"/>
      <c r="T9" s="13"/>
      <c r="U9" s="13"/>
      <c r="Y9" s="336"/>
      <c r="Z9" s="336"/>
      <c r="AA9" s="336"/>
      <c r="AB9" s="62"/>
    </row>
    <row r="10" spans="3:28" ht="16.5" thickBot="1">
      <c r="D10" s="13"/>
      <c r="E10" s="13"/>
      <c r="F10" s="13"/>
      <c r="N10" s="13"/>
      <c r="O10" s="13"/>
      <c r="Y10" s="337"/>
      <c r="Z10" s="337"/>
      <c r="AA10" s="337"/>
      <c r="AB10" s="62"/>
    </row>
    <row r="11" spans="3:28" ht="15.75">
      <c r="C11" s="338"/>
      <c r="D11" s="320" t="s">
        <v>246</v>
      </c>
      <c r="E11" s="320" t="s">
        <v>247</v>
      </c>
      <c r="F11" s="339" t="s">
        <v>267</v>
      </c>
      <c r="G11" s="370" t="s">
        <v>271</v>
      </c>
      <c r="H11" s="421">
        <f>F12/255</f>
        <v>0.27450980392156865</v>
      </c>
      <c r="N11" t="s">
        <v>442</v>
      </c>
      <c r="O11" s="562">
        <v>-1</v>
      </c>
      <c r="P11" s="563">
        <v>1.8599999999999998E-2</v>
      </c>
      <c r="Q11" t="s">
        <v>443</v>
      </c>
      <c r="Y11" s="340"/>
      <c r="Z11" s="23"/>
      <c r="AA11" s="23"/>
      <c r="AB11" s="62"/>
    </row>
    <row r="12" spans="3:28" ht="16.5" thickBot="1">
      <c r="C12" s="324" t="s">
        <v>268</v>
      </c>
      <c r="D12" s="315" t="s">
        <v>269</v>
      </c>
      <c r="E12" s="375">
        <f>'Spec Entry'!D14</f>
        <v>46</v>
      </c>
      <c r="F12" s="376">
        <f>HEX2DEC(E12)</f>
        <v>70</v>
      </c>
      <c r="G12" s="342"/>
      <c r="H12" s="422" t="s">
        <v>272</v>
      </c>
      <c r="P12" s="564">
        <f>(F12*P11)*O11</f>
        <v>-1.3019999999999998</v>
      </c>
      <c r="Q12" t="s">
        <v>444</v>
      </c>
      <c r="U12" s="13"/>
    </row>
    <row r="13" spans="3:28">
      <c r="E13" s="238"/>
      <c r="F13" s="13"/>
      <c r="P13" s="343"/>
      <c r="Q13" s="343"/>
      <c r="R13" s="343"/>
      <c r="S13" s="343"/>
      <c r="T13" s="343"/>
    </row>
    <row r="14" spans="3:28">
      <c r="R14" s="568" t="s">
        <v>446</v>
      </c>
      <c r="S14" s="568" t="s">
        <v>447</v>
      </c>
    </row>
    <row r="15" spans="3:28" ht="24">
      <c r="N15" s="181"/>
      <c r="O15" s="385" t="s">
        <v>299</v>
      </c>
      <c r="P15" s="385"/>
      <c r="Q15" s="565" t="s">
        <v>445</v>
      </c>
      <c r="R15" s="569" t="s">
        <v>448</v>
      </c>
      <c r="S15" s="569" t="s">
        <v>449</v>
      </c>
      <c r="T15" s="392"/>
    </row>
    <row r="16" spans="3:28" ht="15.75">
      <c r="N16" s="386" t="s">
        <v>300</v>
      </c>
      <c r="O16" s="391">
        <f>INDEX(LINEST($E$23:$E$32,$I$23:$I$32),1)</f>
        <v>0.96878249423960783</v>
      </c>
      <c r="P16" s="388" t="s">
        <v>301</v>
      </c>
      <c r="Q16" s="566">
        <f>S16</f>
        <v>496</v>
      </c>
      <c r="R16" s="570" t="str">
        <f>DEC2HEX(ROUND(O16*POWER(2,9),0),3)</f>
        <v>1F0</v>
      </c>
      <c r="S16" s="570">
        <f>HEX2DEC(R16)</f>
        <v>496</v>
      </c>
      <c r="T16" s="17"/>
    </row>
    <row r="17" spans="2:23" ht="39">
      <c r="N17" s="386"/>
      <c r="O17" s="518" t="s">
        <v>440</v>
      </c>
      <c r="P17" s="556" t="s">
        <v>441</v>
      </c>
      <c r="Q17" s="13"/>
      <c r="R17" s="571"/>
      <c r="S17" s="571"/>
      <c r="T17" s="17"/>
    </row>
    <row r="18" spans="2:23" ht="15.75">
      <c r="N18" s="389" t="s">
        <v>302</v>
      </c>
      <c r="O18" s="387">
        <f>INDEX(LINEST($E$23:$E$32,$I$23:$I$32),2)</f>
        <v>0.67687509440278149</v>
      </c>
      <c r="P18" s="390">
        <f>Offset/F12</f>
        <v>9.6696442057540213E-3</v>
      </c>
      <c r="Q18" s="567">
        <f>P18*10000</f>
        <v>96.69644205754021</v>
      </c>
      <c r="R18" s="570" t="str">
        <f>RIGHT(DEC2HEX(ROUND(O18/F12*POWER(2,11),0)),2)</f>
        <v>14</v>
      </c>
      <c r="S18" s="570">
        <f>HEX2DEC(R18)</f>
        <v>20</v>
      </c>
      <c r="T18" s="17"/>
    </row>
    <row r="19" spans="2:23" ht="13.5" thickBot="1"/>
    <row r="20" spans="2:23" ht="17.25" thickBot="1">
      <c r="C20" s="341" t="s">
        <v>270</v>
      </c>
      <c r="F20" s="13"/>
    </row>
    <row r="21" spans="2:23" ht="64.5" thickTop="1" thickBot="1">
      <c r="B21" s="344"/>
      <c r="E21" s="346" t="s">
        <v>273</v>
      </c>
      <c r="F21" s="345" t="s">
        <v>275</v>
      </c>
      <c r="G21" s="347" t="s">
        <v>276</v>
      </c>
      <c r="H21" s="347" t="s">
        <v>277</v>
      </c>
      <c r="I21" s="348" t="s">
        <v>278</v>
      </c>
      <c r="J21" s="347" t="s">
        <v>279</v>
      </c>
      <c r="K21" s="347" t="s">
        <v>280</v>
      </c>
      <c r="N21" s="1088"/>
      <c r="O21" s="1089"/>
      <c r="P21" s="1090"/>
      <c r="Q21" s="1090"/>
      <c r="R21" s="1090"/>
      <c r="S21" s="1090"/>
      <c r="T21" s="1090"/>
      <c r="U21" s="1091"/>
      <c r="V21" s="361"/>
    </row>
    <row r="22" spans="2:23" ht="33" customHeight="1">
      <c r="B22" s="344"/>
      <c r="E22" s="374" t="s">
        <v>282</v>
      </c>
      <c r="F22" s="629" t="s">
        <v>283</v>
      </c>
      <c r="G22" s="349" t="s">
        <v>284</v>
      </c>
      <c r="H22" s="350" t="s">
        <v>285</v>
      </c>
      <c r="I22" s="351" t="s">
        <v>282</v>
      </c>
      <c r="J22" s="351" t="s">
        <v>282</v>
      </c>
      <c r="K22" s="350" t="s">
        <v>281</v>
      </c>
      <c r="N22" s="627" t="s">
        <v>474</v>
      </c>
      <c r="O22" s="352" t="s">
        <v>296</v>
      </c>
      <c r="P22" s="353" t="s">
        <v>286</v>
      </c>
      <c r="Q22" s="353" t="s">
        <v>287</v>
      </c>
      <c r="R22" s="353" t="s">
        <v>297</v>
      </c>
      <c r="S22" s="381" t="s">
        <v>298</v>
      </c>
      <c r="T22" s="393" t="s">
        <v>304</v>
      </c>
      <c r="U22" s="353" t="s">
        <v>303</v>
      </c>
      <c r="V22" s="353"/>
    </row>
    <row r="23" spans="2:23" ht="15.75">
      <c r="E23" s="628">
        <f>'Static LL'!M12</f>
        <v>2</v>
      </c>
      <c r="F23" s="630">
        <f>'Static LL'!R12</f>
        <v>5</v>
      </c>
      <c r="G23" s="354" t="str">
        <f t="shared" ref="G23:G33" si="1">HEX2BIN($F23,8)</f>
        <v>00000101</v>
      </c>
      <c r="H23" s="423">
        <f t="shared" ref="H23:H33" si="2">HEX2DEC($F23)</f>
        <v>5</v>
      </c>
      <c r="I23" s="355">
        <f t="shared" ref="I23:I33" si="3">H23*$H$11</f>
        <v>1.3725490196078431</v>
      </c>
      <c r="J23" s="355">
        <f t="shared" ref="J23:J33" si="4">I23-E23</f>
        <v>-0.62745098039215685</v>
      </c>
      <c r="K23" s="356">
        <f t="shared" ref="K23:K33" si="5">J23/E23</f>
        <v>-0.31372549019607843</v>
      </c>
      <c r="N23" s="357"/>
      <c r="O23" s="426">
        <f t="shared" ref="O23:O33" si="6">ROUND(E23,0)</f>
        <v>2</v>
      </c>
      <c r="P23" s="358" t="e">
        <f t="shared" ref="P23:P33" si="7">-Q23</f>
        <v>#N/A</v>
      </c>
      <c r="Q23" s="358" t="e">
        <f>VLOOKUP(O23,$F$108:$N$118,Iout_spec,TRUE)</f>
        <v>#N/A</v>
      </c>
      <c r="R23" s="382" t="e">
        <f>IF('Spec Entry'!$G$28="HVM Validation",O23+(P23*O23),"")</f>
        <v>#N/A</v>
      </c>
      <c r="S23" s="394" t="e">
        <f>IF('Spec Entry'!$G$28="HVM Validation",O23+(Q23*O23),"")</f>
        <v>#N/A</v>
      </c>
      <c r="T23" s="384">
        <f t="shared" ref="T23:T33" si="8">I23*Slope+Offset</f>
        <v>2.0065765570845961</v>
      </c>
      <c r="U23" s="382"/>
      <c r="V23" s="358"/>
    </row>
    <row r="24" spans="2:23" ht="15.75">
      <c r="B24" s="359"/>
      <c r="E24" s="628">
        <f>'Static LL'!M13</f>
        <v>6</v>
      </c>
      <c r="F24" s="631">
        <f>'Static LL'!R13</f>
        <v>14</v>
      </c>
      <c r="G24" s="360" t="str">
        <f t="shared" si="1"/>
        <v>00010100</v>
      </c>
      <c r="H24" s="423">
        <f t="shared" si="2"/>
        <v>20</v>
      </c>
      <c r="I24" s="355">
        <f t="shared" si="3"/>
        <v>5.4901960784313726</v>
      </c>
      <c r="J24" s="355">
        <f t="shared" si="4"/>
        <v>-0.50980392156862742</v>
      </c>
      <c r="K24" s="356">
        <f t="shared" si="5"/>
        <v>-8.4967320261437898E-2</v>
      </c>
      <c r="N24" s="357"/>
      <c r="O24" s="426">
        <f t="shared" si="6"/>
        <v>6</v>
      </c>
      <c r="P24" s="358">
        <f t="shared" si="7"/>
        <v>-0.16</v>
      </c>
      <c r="Q24" s="358">
        <f t="shared" ref="Q24:Q33" si="9">VLOOKUP(O24,$F$108:$N$118,Iout_spec,TRUE)</f>
        <v>0.16</v>
      </c>
      <c r="R24" s="382">
        <f>IF('Spec Entry'!$G$28="HVM Validation",O24+(P24*O24),"")</f>
        <v>5.04</v>
      </c>
      <c r="S24" s="394">
        <f>IF('Spec Entry'!$G$28="HVM Validation",O24+(Q24*O24),"")</f>
        <v>6.96</v>
      </c>
      <c r="T24" s="384">
        <f t="shared" si="8"/>
        <v>5.9956809451300401</v>
      </c>
      <c r="U24" s="382"/>
      <c r="V24" s="358"/>
    </row>
    <row r="25" spans="2:23" ht="15.75">
      <c r="B25" s="359"/>
      <c r="E25" s="628">
        <f>'Static LL'!M14</f>
        <v>10</v>
      </c>
      <c r="F25" s="631">
        <f>'Static LL'!R14</f>
        <v>23</v>
      </c>
      <c r="G25" s="360" t="str">
        <f t="shared" si="1"/>
        <v>00100011</v>
      </c>
      <c r="H25" s="423">
        <f t="shared" si="2"/>
        <v>35</v>
      </c>
      <c r="I25" s="355">
        <f t="shared" si="3"/>
        <v>9.6078431372549034</v>
      </c>
      <c r="J25" s="355">
        <f t="shared" si="4"/>
        <v>-0.39215686274509665</v>
      </c>
      <c r="K25" s="356">
        <f t="shared" si="5"/>
        <v>-3.9215686274509665E-2</v>
      </c>
      <c r="N25" s="357"/>
      <c r="O25" s="426">
        <f t="shared" si="6"/>
        <v>10</v>
      </c>
      <c r="P25" s="358">
        <f t="shared" si="7"/>
        <v>-9.6000000000000002E-2</v>
      </c>
      <c r="Q25" s="358">
        <f t="shared" si="9"/>
        <v>9.6000000000000002E-2</v>
      </c>
      <c r="R25" s="382">
        <f>IF('Spec Entry'!$G$28="HVM Validation",O25+(P25*O25),"")</f>
        <v>9.0399999999999991</v>
      </c>
      <c r="S25" s="394">
        <f>IF('Spec Entry'!$G$28="HVM Validation",O25+(Q25*O25),"")</f>
        <v>10.96</v>
      </c>
      <c r="T25" s="384">
        <f t="shared" si="8"/>
        <v>9.9847853331754859</v>
      </c>
      <c r="U25" s="382"/>
      <c r="V25" s="358"/>
      <c r="W25" s="358"/>
    </row>
    <row r="26" spans="2:23" ht="15.75">
      <c r="B26" s="359"/>
      <c r="E26" s="628">
        <f>'Static LL'!M15</f>
        <v>14</v>
      </c>
      <c r="F26" s="631">
        <f>'Static LL'!R15</f>
        <v>32</v>
      </c>
      <c r="G26" s="360" t="str">
        <f t="shared" si="1"/>
        <v>00110010</v>
      </c>
      <c r="H26" s="423">
        <f t="shared" si="2"/>
        <v>50</v>
      </c>
      <c r="I26" s="355">
        <f t="shared" si="3"/>
        <v>13.725490196078432</v>
      </c>
      <c r="J26" s="355">
        <f t="shared" si="4"/>
        <v>-0.27450980392156765</v>
      </c>
      <c r="K26" s="356">
        <f t="shared" si="5"/>
        <v>-1.9607843137254832E-2</v>
      </c>
      <c r="N26" s="357"/>
      <c r="O26" s="426">
        <f t="shared" si="6"/>
        <v>14</v>
      </c>
      <c r="P26" s="358">
        <f t="shared" si="7"/>
        <v>-7.1999999999999995E-2</v>
      </c>
      <c r="Q26" s="358">
        <f t="shared" si="9"/>
        <v>7.1999999999999995E-2</v>
      </c>
      <c r="R26" s="383">
        <f>IF('Spec Entry'!$G$28="HVM Validation",O26+(P26*O26),"")</f>
        <v>12.992000000000001</v>
      </c>
      <c r="S26" s="394">
        <f>IF('Spec Entry'!$G$28="HVM Validation",O26+(Q26*O26),"")</f>
        <v>15.007999999999999</v>
      </c>
      <c r="T26" s="384">
        <f t="shared" si="8"/>
        <v>13.97388972122093</v>
      </c>
      <c r="U26" s="383"/>
      <c r="V26" s="361"/>
      <c r="W26" s="361"/>
    </row>
    <row r="27" spans="2:23" ht="15.75">
      <c r="B27" s="359"/>
      <c r="E27" s="628">
        <f>'Static LL'!M16</f>
        <v>18</v>
      </c>
      <c r="F27" s="631">
        <f>'Static LL'!R16</f>
        <v>41</v>
      </c>
      <c r="G27" s="360" t="str">
        <f t="shared" si="1"/>
        <v>01000001</v>
      </c>
      <c r="H27" s="423">
        <f t="shared" si="2"/>
        <v>65</v>
      </c>
      <c r="I27" s="355">
        <f t="shared" si="3"/>
        <v>17.843137254901961</v>
      </c>
      <c r="J27" s="355">
        <f t="shared" si="4"/>
        <v>-0.15686274509803866</v>
      </c>
      <c r="K27" s="356">
        <f t="shared" si="5"/>
        <v>-8.7145969498910372E-3</v>
      </c>
      <c r="N27" s="357"/>
      <c r="O27" s="426">
        <f t="shared" si="6"/>
        <v>18</v>
      </c>
      <c r="P27" s="358">
        <f t="shared" si="7"/>
        <v>-7.1999999999999995E-2</v>
      </c>
      <c r="Q27" s="358">
        <f t="shared" si="9"/>
        <v>7.1999999999999995E-2</v>
      </c>
      <c r="R27" s="382">
        <f>IF('Spec Entry'!$G$28="HVM Validation",O27+(P27*O27),"")</f>
        <v>16.704000000000001</v>
      </c>
      <c r="S27" s="394">
        <f>IF('Spec Entry'!$G$28="HVM Validation",O27+(Q27*O27),"")</f>
        <v>19.295999999999999</v>
      </c>
      <c r="T27" s="384">
        <f t="shared" si="8"/>
        <v>17.962994109266372</v>
      </c>
      <c r="U27" s="382"/>
      <c r="V27" s="358"/>
      <c r="W27" s="358"/>
    </row>
    <row r="28" spans="2:23" ht="15.75">
      <c r="B28" s="359"/>
      <c r="E28" s="628">
        <f>'Static LL'!M17</f>
        <v>23</v>
      </c>
      <c r="F28" s="631">
        <f>'Static LL'!R17</f>
        <v>54</v>
      </c>
      <c r="G28" s="360" t="str">
        <f t="shared" si="1"/>
        <v>01010100</v>
      </c>
      <c r="H28" s="423">
        <f t="shared" si="2"/>
        <v>84</v>
      </c>
      <c r="I28" s="355">
        <f t="shared" si="3"/>
        <v>23.058823529411768</v>
      </c>
      <c r="J28" s="355">
        <f t="shared" si="4"/>
        <v>5.882352941176805E-2</v>
      </c>
      <c r="K28" s="356">
        <f t="shared" si="5"/>
        <v>2.5575447570333936E-3</v>
      </c>
      <c r="N28" s="357"/>
      <c r="O28" s="426">
        <f t="shared" si="6"/>
        <v>23</v>
      </c>
      <c r="P28" s="358">
        <f t="shared" si="7"/>
        <v>-6.7000000000000004E-2</v>
      </c>
      <c r="Q28" s="358">
        <f t="shared" si="9"/>
        <v>6.7000000000000004E-2</v>
      </c>
      <c r="R28" s="382">
        <f>IF('Spec Entry'!$G$28="HVM Validation",O28+(P28*O28),"")</f>
        <v>21.459</v>
      </c>
      <c r="S28" s="394">
        <f>IF('Spec Entry'!$G$28="HVM Validation",O28+(Q28*O28),"")</f>
        <v>24.541</v>
      </c>
      <c r="T28" s="384">
        <f t="shared" si="8"/>
        <v>23.015859667457271</v>
      </c>
      <c r="U28" s="382"/>
      <c r="V28" s="358"/>
      <c r="W28" s="358"/>
    </row>
    <row r="29" spans="2:23" ht="15.75">
      <c r="B29" s="359"/>
      <c r="E29" s="628">
        <f>'Static LL'!M18</f>
        <v>28</v>
      </c>
      <c r="F29" s="631">
        <f>'Static LL'!R18</f>
        <v>67</v>
      </c>
      <c r="G29" s="360" t="str">
        <f t="shared" si="1"/>
        <v>01100111</v>
      </c>
      <c r="H29" s="423">
        <f t="shared" si="2"/>
        <v>103</v>
      </c>
      <c r="I29" s="355">
        <f t="shared" si="3"/>
        <v>28.274509803921571</v>
      </c>
      <c r="J29" s="355">
        <f t="shared" si="4"/>
        <v>0.2745098039215712</v>
      </c>
      <c r="K29" s="356">
        <f t="shared" si="5"/>
        <v>9.8039215686275428E-3</v>
      </c>
      <c r="N29" s="357"/>
      <c r="O29" s="426">
        <f t="shared" si="6"/>
        <v>28</v>
      </c>
      <c r="P29" s="358">
        <f t="shared" si="7"/>
        <v>-6.5000000000000002E-2</v>
      </c>
      <c r="Q29" s="358">
        <f t="shared" si="9"/>
        <v>6.5000000000000002E-2</v>
      </c>
      <c r="R29" s="382">
        <f>IF('Spec Entry'!$G$28="HVM Validation",O29+(P29*O29),"")</f>
        <v>26.18</v>
      </c>
      <c r="S29" s="394">
        <f>IF('Spec Entry'!$G$28="HVM Validation",O29+(Q29*O29),"")</f>
        <v>29.82</v>
      </c>
      <c r="T29" s="384">
        <f t="shared" si="8"/>
        <v>28.068725225648166</v>
      </c>
      <c r="U29" s="382"/>
      <c r="V29" s="358"/>
      <c r="W29" s="358"/>
    </row>
    <row r="30" spans="2:23" ht="15.75">
      <c r="B30" s="359"/>
      <c r="E30" s="628">
        <f>'Static LL'!M19</f>
        <v>33</v>
      </c>
      <c r="F30" s="631" t="str">
        <f>'Static LL'!R19</f>
        <v>7A</v>
      </c>
      <c r="G30" s="360" t="str">
        <f t="shared" si="1"/>
        <v>01111010</v>
      </c>
      <c r="H30" s="423">
        <f t="shared" si="2"/>
        <v>122</v>
      </c>
      <c r="I30" s="355">
        <f t="shared" si="3"/>
        <v>33.490196078431374</v>
      </c>
      <c r="J30" s="355">
        <f t="shared" si="4"/>
        <v>0.49019607843137436</v>
      </c>
      <c r="K30" s="356">
        <f t="shared" si="5"/>
        <v>1.4854426619132556E-2</v>
      </c>
      <c r="N30" s="357"/>
      <c r="O30" s="426">
        <f t="shared" si="6"/>
        <v>33</v>
      </c>
      <c r="P30" s="358">
        <f t="shared" si="7"/>
        <v>-6.5000000000000002E-2</v>
      </c>
      <c r="Q30" s="358">
        <f t="shared" si="9"/>
        <v>6.5000000000000002E-2</v>
      </c>
      <c r="R30" s="382">
        <f>IF('Spec Entry'!$G$28="HVM Validation",O30+(P30*O30),"")</f>
        <v>30.855</v>
      </c>
      <c r="S30" s="394">
        <f>IF('Spec Entry'!$G$28="HVM Validation",O30+(Q30*O30),"")</f>
        <v>35.145000000000003</v>
      </c>
      <c r="T30" s="384">
        <f t="shared" si="8"/>
        <v>33.121590783839061</v>
      </c>
      <c r="U30" s="382"/>
      <c r="V30" s="358"/>
      <c r="W30" s="358"/>
    </row>
    <row r="31" spans="2:23" ht="15.75">
      <c r="B31" s="359"/>
      <c r="E31" s="628">
        <f>'Static LL'!M20</f>
        <v>38</v>
      </c>
      <c r="F31" s="631" t="str">
        <f>'Static LL'!R20</f>
        <v>8C</v>
      </c>
      <c r="G31" s="360" t="str">
        <f t="shared" si="1"/>
        <v>10001100</v>
      </c>
      <c r="H31" s="423">
        <f t="shared" si="2"/>
        <v>140</v>
      </c>
      <c r="I31" s="355">
        <f t="shared" si="3"/>
        <v>38.431372549019613</v>
      </c>
      <c r="J31" s="355">
        <f t="shared" si="4"/>
        <v>0.43137254901961342</v>
      </c>
      <c r="K31" s="356">
        <f t="shared" si="5"/>
        <v>1.1351909184726668E-2</v>
      </c>
      <c r="N31" s="357"/>
      <c r="O31" s="426">
        <f t="shared" si="6"/>
        <v>38</v>
      </c>
      <c r="P31" s="358">
        <f t="shared" si="7"/>
        <v>-6.4000000000000001E-2</v>
      </c>
      <c r="Q31" s="358">
        <f t="shared" si="9"/>
        <v>6.4000000000000001E-2</v>
      </c>
      <c r="R31" s="382">
        <f>IF('Spec Entry'!$G$28="HVM Validation",O31+(P31*O31),"")</f>
        <v>35.567999999999998</v>
      </c>
      <c r="S31" s="394">
        <f>IF('Spec Entry'!$G$28="HVM Validation",O31+(Q31*O31),"")</f>
        <v>40.432000000000002</v>
      </c>
      <c r="T31" s="384">
        <f t="shared" si="8"/>
        <v>37.908516049493599</v>
      </c>
      <c r="U31" s="382"/>
      <c r="V31" s="358"/>
      <c r="W31" s="358"/>
    </row>
    <row r="32" spans="2:23" ht="15.75">
      <c r="B32" s="359"/>
      <c r="E32" s="628">
        <f>'Static LL'!M21</f>
        <v>43</v>
      </c>
      <c r="F32" s="631" t="str">
        <f>'Static LL'!R21</f>
        <v>9F</v>
      </c>
      <c r="G32" s="360" t="str">
        <f t="shared" si="1"/>
        <v>10011111</v>
      </c>
      <c r="H32" s="423">
        <f t="shared" si="2"/>
        <v>159</v>
      </c>
      <c r="I32" s="355">
        <f t="shared" si="3"/>
        <v>43.647058823529413</v>
      </c>
      <c r="J32" s="355">
        <f t="shared" si="4"/>
        <v>0.64705882352941302</v>
      </c>
      <c r="K32" s="356">
        <f t="shared" si="5"/>
        <v>1.5047879616963094E-2</v>
      </c>
      <c r="N32" s="357"/>
      <c r="O32" s="426">
        <f t="shared" si="6"/>
        <v>43</v>
      </c>
      <c r="P32" s="358">
        <f t="shared" si="7"/>
        <v>-6.3E-2</v>
      </c>
      <c r="Q32" s="358">
        <f t="shared" si="9"/>
        <v>6.3E-2</v>
      </c>
      <c r="R32" s="382">
        <f>IF('Spec Entry'!$G$28="HVM Validation",O32+(P32*O32),"")</f>
        <v>40.290999999999997</v>
      </c>
      <c r="S32" s="394">
        <f>IF('Spec Entry'!$G$28="HVM Validation",O32+(Q32*O32),"")</f>
        <v>45.709000000000003</v>
      </c>
      <c r="T32" s="384">
        <f t="shared" si="8"/>
        <v>42.961381607684487</v>
      </c>
      <c r="U32" s="382"/>
      <c r="V32" s="358"/>
      <c r="W32" s="358"/>
    </row>
    <row r="33" spans="2:23" ht="15.75">
      <c r="B33" s="359"/>
      <c r="E33" s="628">
        <f>'Static LL'!M22</f>
        <v>48</v>
      </c>
      <c r="F33" s="631" t="str">
        <f>'Static LL'!R22</f>
        <v>B2</v>
      </c>
      <c r="G33" s="360" t="str">
        <f t="shared" si="1"/>
        <v>10110010</v>
      </c>
      <c r="H33" s="423">
        <f t="shared" si="2"/>
        <v>178</v>
      </c>
      <c r="I33" s="355">
        <f t="shared" si="3"/>
        <v>48.86274509803922</v>
      </c>
      <c r="J33" s="355">
        <f t="shared" si="4"/>
        <v>0.86274509803921973</v>
      </c>
      <c r="K33" s="356">
        <f t="shared" si="5"/>
        <v>1.7973856209150412E-2</v>
      </c>
      <c r="N33" s="357"/>
      <c r="O33" s="426">
        <f t="shared" si="6"/>
        <v>48</v>
      </c>
      <c r="P33" s="358">
        <f t="shared" si="7"/>
        <v>-6.3E-2</v>
      </c>
      <c r="Q33" s="358">
        <f t="shared" si="9"/>
        <v>6.3E-2</v>
      </c>
      <c r="R33" s="382">
        <f>IF('Spec Entry'!$G$28="HVM Validation",O33+(P33*O33),"")</f>
        <v>44.975999999999999</v>
      </c>
      <c r="S33" s="394">
        <f>IF('Spec Entry'!$G$28="HVM Validation",O33+(Q33*O33),"")</f>
        <v>51.024000000000001</v>
      </c>
      <c r="T33" s="384">
        <f t="shared" si="8"/>
        <v>48.014247165875389</v>
      </c>
      <c r="U33" s="382"/>
      <c r="V33" s="358"/>
      <c r="W33" s="358"/>
    </row>
    <row r="39" spans="2:23" ht="16.5" thickBot="1">
      <c r="D39" s="362" t="s">
        <v>484</v>
      </c>
    </row>
    <row r="40" spans="2:23" ht="17.25" thickBot="1">
      <c r="C40" s="341" t="s">
        <v>288</v>
      </c>
      <c r="D40" s="317">
        <f>Iccmax_PS1</f>
        <v>10</v>
      </c>
      <c r="F40" s="13"/>
      <c r="J40" s="335"/>
      <c r="K40" s="335"/>
    </row>
    <row r="41" spans="2:23" ht="80.25" thickTop="1" thickBot="1">
      <c r="E41" s="346" t="s">
        <v>274</v>
      </c>
      <c r="F41" s="345" t="s">
        <v>275</v>
      </c>
      <c r="G41" s="347" t="s">
        <v>276</v>
      </c>
      <c r="H41" s="347" t="s">
        <v>277</v>
      </c>
      <c r="I41" s="348" t="s">
        <v>278</v>
      </c>
      <c r="J41" s="347" t="s">
        <v>279</v>
      </c>
      <c r="K41" s="347" t="s">
        <v>280</v>
      </c>
      <c r="N41" s="1088" t="s">
        <v>305</v>
      </c>
      <c r="O41" s="1089"/>
      <c r="P41" s="1090"/>
      <c r="Q41" s="1090"/>
      <c r="R41" s="1090"/>
      <c r="S41" s="1090"/>
      <c r="T41" s="1090"/>
      <c r="U41" s="1091"/>
    </row>
    <row r="42" spans="2:23" ht="25.5">
      <c r="E42" s="374" t="s">
        <v>282</v>
      </c>
      <c r="F42" s="629" t="s">
        <v>283</v>
      </c>
      <c r="G42" s="349" t="s">
        <v>284</v>
      </c>
      <c r="H42" s="350" t="s">
        <v>285</v>
      </c>
      <c r="I42" s="351" t="s">
        <v>282</v>
      </c>
      <c r="J42" s="351" t="s">
        <v>282</v>
      </c>
      <c r="K42" s="350" t="s">
        <v>281</v>
      </c>
      <c r="N42" s="352" t="s">
        <v>474</v>
      </c>
      <c r="O42" s="352" t="s">
        <v>296</v>
      </c>
      <c r="P42" s="353" t="s">
        <v>286</v>
      </c>
      <c r="Q42" s="353" t="s">
        <v>287</v>
      </c>
      <c r="R42" s="353" t="s">
        <v>297</v>
      </c>
      <c r="S42" s="381" t="s">
        <v>298</v>
      </c>
      <c r="T42" s="393" t="s">
        <v>304</v>
      </c>
      <c r="U42" s="353" t="s">
        <v>303</v>
      </c>
    </row>
    <row r="43" spans="2:23" ht="15.75">
      <c r="E43" s="632">
        <f>'Static LL'!M42</f>
        <v>2</v>
      </c>
      <c r="F43" s="635">
        <f>'Static LL'!R42</f>
        <v>8</v>
      </c>
      <c r="G43" s="633" t="str">
        <f t="shared" ref="G43:G53" si="10">HEX2BIN($F43,8)</f>
        <v>00001000</v>
      </c>
      <c r="H43" s="423">
        <f t="shared" ref="H43:H53" si="11">HEX2DEC($F43)</f>
        <v>8</v>
      </c>
      <c r="I43" s="355">
        <f t="shared" ref="I43:I53" si="12">H43*$H$11</f>
        <v>2.1960784313725492</v>
      </c>
      <c r="J43" s="355">
        <f t="shared" ref="J43:J53" si="13">I43-E43</f>
        <v>0.19607843137254921</v>
      </c>
      <c r="K43" s="356">
        <f t="shared" ref="K43:K53" si="14">J43/E43</f>
        <v>9.8039215686274606E-2</v>
      </c>
      <c r="N43" s="357"/>
      <c r="O43" s="426">
        <f t="shared" ref="O43:O53" si="15">ROUND(E43,0)</f>
        <v>2</v>
      </c>
      <c r="P43" s="358">
        <f t="shared" ref="P43:P53" si="16">-Q43</f>
        <v>-1</v>
      </c>
      <c r="Q43" s="358">
        <v>1</v>
      </c>
      <c r="R43" s="382">
        <f t="shared" ref="R43:R53" si="17">O43+(P43*O43)</f>
        <v>0</v>
      </c>
      <c r="S43" s="394">
        <f t="shared" ref="S43:S53" si="18">O43+(Q43*O43)</f>
        <v>4</v>
      </c>
      <c r="T43" s="384">
        <f t="shared" ref="T43:T53" si="19">I43*Slope+Offset</f>
        <v>2.8043974346936853</v>
      </c>
      <c r="U43" s="382"/>
    </row>
    <row r="44" spans="2:23" ht="15.75">
      <c r="E44" s="632">
        <f>'Static LL'!M43</f>
        <v>6</v>
      </c>
      <c r="F44" s="635">
        <f>'Static LL'!R43</f>
        <v>18</v>
      </c>
      <c r="G44" s="634" t="str">
        <f t="shared" si="10"/>
        <v>00011000</v>
      </c>
      <c r="H44" s="423">
        <f t="shared" si="11"/>
        <v>24</v>
      </c>
      <c r="I44" s="355">
        <f t="shared" si="12"/>
        <v>6.5882352941176476</v>
      </c>
      <c r="J44" s="355">
        <f t="shared" si="13"/>
        <v>0.58823529411764763</v>
      </c>
      <c r="K44" s="356">
        <f t="shared" si="14"/>
        <v>9.8039215686274606E-2</v>
      </c>
      <c r="N44" s="357"/>
      <c r="O44" s="426">
        <f t="shared" si="15"/>
        <v>6</v>
      </c>
      <c r="P44" s="358">
        <f t="shared" si="16"/>
        <v>-0.5</v>
      </c>
      <c r="Q44" s="358">
        <v>0.5</v>
      </c>
      <c r="R44" s="382">
        <f t="shared" si="17"/>
        <v>3</v>
      </c>
      <c r="S44" s="394">
        <f t="shared" si="18"/>
        <v>9</v>
      </c>
      <c r="T44" s="384">
        <f t="shared" si="19"/>
        <v>7.059442115275492</v>
      </c>
      <c r="U44" s="382"/>
    </row>
    <row r="45" spans="2:23" ht="15.75">
      <c r="E45" s="632">
        <f>'Static LL'!M44</f>
        <v>10</v>
      </c>
      <c r="F45" s="635">
        <f>'Static LL'!R44</f>
        <v>27</v>
      </c>
      <c r="G45" s="634" t="str">
        <f t="shared" si="10"/>
        <v>00100111</v>
      </c>
      <c r="H45" s="423">
        <f t="shared" si="11"/>
        <v>39</v>
      </c>
      <c r="I45" s="355">
        <f t="shared" si="12"/>
        <v>10.705882352941178</v>
      </c>
      <c r="J45" s="355">
        <f t="shared" si="13"/>
        <v>0.70588235294117752</v>
      </c>
      <c r="K45" s="356">
        <f t="shared" si="14"/>
        <v>7.0588235294117757E-2</v>
      </c>
      <c r="N45" s="357"/>
      <c r="O45" s="426">
        <f t="shared" si="15"/>
        <v>10</v>
      </c>
      <c r="P45" s="358">
        <f t="shared" si="16"/>
        <v>-0.17</v>
      </c>
      <c r="Q45" s="358">
        <v>0.17</v>
      </c>
      <c r="R45" s="382">
        <f t="shared" si="17"/>
        <v>8.3000000000000007</v>
      </c>
      <c r="S45" s="394">
        <f t="shared" si="18"/>
        <v>11.7</v>
      </c>
      <c r="T45" s="384">
        <f t="shared" si="19"/>
        <v>11.048546503320937</v>
      </c>
      <c r="U45" s="382"/>
    </row>
    <row r="46" spans="2:23" ht="15.75">
      <c r="E46" s="632" t="e">
        <f>'Static LL'!M45</f>
        <v>#N/A</v>
      </c>
      <c r="F46" s="635">
        <f>'Static LL'!R45</f>
        <v>0</v>
      </c>
      <c r="G46" s="634" t="str">
        <f t="shared" si="10"/>
        <v>00000000</v>
      </c>
      <c r="H46" s="423">
        <f t="shared" si="11"/>
        <v>0</v>
      </c>
      <c r="I46" s="355">
        <f t="shared" si="12"/>
        <v>0</v>
      </c>
      <c r="J46" s="355" t="e">
        <f t="shared" si="13"/>
        <v>#N/A</v>
      </c>
      <c r="K46" s="356" t="e">
        <f t="shared" si="14"/>
        <v>#N/A</v>
      </c>
      <c r="N46" s="357"/>
      <c r="O46" s="426" t="e">
        <f t="shared" si="15"/>
        <v>#N/A</v>
      </c>
      <c r="P46" s="358">
        <f t="shared" si="16"/>
        <v>-0.15</v>
      </c>
      <c r="Q46" s="358">
        <v>0.15</v>
      </c>
      <c r="R46" s="383" t="e">
        <f t="shared" si="17"/>
        <v>#N/A</v>
      </c>
      <c r="S46" s="394" t="e">
        <f t="shared" si="18"/>
        <v>#N/A</v>
      </c>
      <c r="T46" s="384">
        <f t="shared" si="19"/>
        <v>0.67687509440278149</v>
      </c>
      <c r="U46" s="383"/>
    </row>
    <row r="47" spans="2:23" ht="15.75">
      <c r="E47" s="632" t="e">
        <f>'Static LL'!M46</f>
        <v>#N/A</v>
      </c>
      <c r="F47" s="635">
        <f>'Static LL'!R46</f>
        <v>0</v>
      </c>
      <c r="G47" s="634" t="str">
        <f t="shared" si="10"/>
        <v>00000000</v>
      </c>
      <c r="H47" s="423">
        <f t="shared" si="11"/>
        <v>0</v>
      </c>
      <c r="I47" s="355">
        <f t="shared" si="12"/>
        <v>0</v>
      </c>
      <c r="J47" s="355" t="e">
        <f t="shared" si="13"/>
        <v>#N/A</v>
      </c>
      <c r="K47" s="356" t="e">
        <f t="shared" si="14"/>
        <v>#N/A</v>
      </c>
      <c r="N47" s="357"/>
      <c r="O47" s="426" t="e">
        <f t="shared" si="15"/>
        <v>#N/A</v>
      </c>
      <c r="P47" s="358">
        <f t="shared" si="16"/>
        <v>-0.125</v>
      </c>
      <c r="Q47" s="358">
        <v>0.125</v>
      </c>
      <c r="R47" s="382" t="e">
        <f t="shared" si="17"/>
        <v>#N/A</v>
      </c>
      <c r="S47" s="394" t="e">
        <f t="shared" si="18"/>
        <v>#N/A</v>
      </c>
      <c r="T47" s="384">
        <f t="shared" si="19"/>
        <v>0.67687509440278149</v>
      </c>
      <c r="U47" s="382"/>
    </row>
    <row r="48" spans="2:23" ht="15.75">
      <c r="E48" s="632" t="e">
        <f>'Static LL'!M47</f>
        <v>#N/A</v>
      </c>
      <c r="F48" s="635">
        <f>'Static LL'!R47</f>
        <v>0</v>
      </c>
      <c r="G48" s="634" t="str">
        <f t="shared" si="10"/>
        <v>00000000</v>
      </c>
      <c r="H48" s="423">
        <f t="shared" si="11"/>
        <v>0</v>
      </c>
      <c r="I48" s="355">
        <f t="shared" si="12"/>
        <v>0</v>
      </c>
      <c r="J48" s="355" t="e">
        <f t="shared" si="13"/>
        <v>#N/A</v>
      </c>
      <c r="K48" s="356" t="e">
        <f t="shared" si="14"/>
        <v>#N/A</v>
      </c>
      <c r="N48" s="357"/>
      <c r="O48" s="426" t="e">
        <f t="shared" si="15"/>
        <v>#N/A</v>
      </c>
      <c r="P48" s="358">
        <f t="shared" si="16"/>
        <v>-0.105</v>
      </c>
      <c r="Q48" s="358">
        <v>0.105</v>
      </c>
      <c r="R48" s="382" t="e">
        <f t="shared" si="17"/>
        <v>#N/A</v>
      </c>
      <c r="S48" s="394" t="e">
        <f t="shared" si="18"/>
        <v>#N/A</v>
      </c>
      <c r="T48" s="384">
        <f t="shared" si="19"/>
        <v>0.67687509440278149</v>
      </c>
      <c r="U48" s="382"/>
    </row>
    <row r="49" spans="3:22" ht="15.75">
      <c r="E49" s="632" t="e">
        <f>'Static LL'!M48</f>
        <v>#N/A</v>
      </c>
      <c r="F49" s="635">
        <f>'Static LL'!R48</f>
        <v>0</v>
      </c>
      <c r="G49" s="634" t="str">
        <f t="shared" si="10"/>
        <v>00000000</v>
      </c>
      <c r="H49" s="423">
        <f t="shared" si="11"/>
        <v>0</v>
      </c>
      <c r="I49" s="355">
        <f t="shared" si="12"/>
        <v>0</v>
      </c>
      <c r="J49" s="355" t="e">
        <f t="shared" si="13"/>
        <v>#N/A</v>
      </c>
      <c r="K49" s="356" t="e">
        <f t="shared" si="14"/>
        <v>#N/A</v>
      </c>
      <c r="N49" s="357"/>
      <c r="O49" s="426" t="e">
        <f t="shared" si="15"/>
        <v>#N/A</v>
      </c>
      <c r="P49" s="358">
        <f t="shared" si="16"/>
        <v>-9.5000000000000001E-2</v>
      </c>
      <c r="Q49" s="358">
        <v>9.5000000000000001E-2</v>
      </c>
      <c r="R49" s="382" t="e">
        <f t="shared" si="17"/>
        <v>#N/A</v>
      </c>
      <c r="S49" s="394" t="e">
        <f t="shared" si="18"/>
        <v>#N/A</v>
      </c>
      <c r="T49" s="384">
        <f t="shared" si="19"/>
        <v>0.67687509440278149</v>
      </c>
      <c r="U49" s="382"/>
    </row>
    <row r="50" spans="3:22" ht="15.75">
      <c r="E50" s="632" t="e">
        <f>'Static LL'!M49</f>
        <v>#N/A</v>
      </c>
      <c r="F50" s="635">
        <f>'Static LL'!R49</f>
        <v>0</v>
      </c>
      <c r="G50" s="634" t="str">
        <f t="shared" si="10"/>
        <v>00000000</v>
      </c>
      <c r="H50" s="423">
        <f t="shared" si="11"/>
        <v>0</v>
      </c>
      <c r="I50" s="355">
        <f t="shared" si="12"/>
        <v>0</v>
      </c>
      <c r="J50" s="355" t="e">
        <f t="shared" si="13"/>
        <v>#N/A</v>
      </c>
      <c r="K50" s="356" t="e">
        <f t="shared" si="14"/>
        <v>#N/A</v>
      </c>
      <c r="N50" s="357"/>
      <c r="O50" s="426" t="e">
        <f t="shared" si="15"/>
        <v>#N/A</v>
      </c>
      <c r="P50" s="358">
        <f t="shared" si="16"/>
        <v>-9.5000000000000001E-2</v>
      </c>
      <c r="Q50" s="358">
        <v>9.5000000000000001E-2</v>
      </c>
      <c r="R50" s="382" t="e">
        <f t="shared" si="17"/>
        <v>#N/A</v>
      </c>
      <c r="S50" s="394" t="e">
        <f t="shared" si="18"/>
        <v>#N/A</v>
      </c>
      <c r="T50" s="384">
        <f t="shared" si="19"/>
        <v>0.67687509440278149</v>
      </c>
      <c r="U50" s="382"/>
    </row>
    <row r="51" spans="3:22" ht="15.75">
      <c r="E51" s="632" t="e">
        <f>'Static LL'!M50</f>
        <v>#N/A</v>
      </c>
      <c r="F51" s="635">
        <f>'Static LL'!R50</f>
        <v>0</v>
      </c>
      <c r="G51" s="634" t="str">
        <f t="shared" si="10"/>
        <v>00000000</v>
      </c>
      <c r="H51" s="423">
        <f t="shared" si="11"/>
        <v>0</v>
      </c>
      <c r="I51" s="355">
        <f t="shared" si="12"/>
        <v>0</v>
      </c>
      <c r="J51" s="355" t="e">
        <f t="shared" si="13"/>
        <v>#N/A</v>
      </c>
      <c r="K51" s="356" t="e">
        <f t="shared" si="14"/>
        <v>#N/A</v>
      </c>
      <c r="N51" s="357"/>
      <c r="O51" s="426" t="e">
        <f t="shared" si="15"/>
        <v>#N/A</v>
      </c>
      <c r="P51" s="358">
        <f t="shared" si="16"/>
        <v>-9.5000000000000001E-2</v>
      </c>
      <c r="Q51" s="358">
        <v>9.5000000000000001E-2</v>
      </c>
      <c r="R51" s="382" t="e">
        <f t="shared" si="17"/>
        <v>#N/A</v>
      </c>
      <c r="S51" s="394" t="e">
        <f t="shared" si="18"/>
        <v>#N/A</v>
      </c>
      <c r="T51" s="384">
        <f t="shared" si="19"/>
        <v>0.67687509440278149</v>
      </c>
      <c r="U51" s="382"/>
    </row>
    <row r="52" spans="3:22" ht="15.75">
      <c r="E52" s="632" t="e">
        <f>'Static LL'!M51</f>
        <v>#N/A</v>
      </c>
      <c r="F52" s="635">
        <f>'Static LL'!R51</f>
        <v>0</v>
      </c>
      <c r="G52" s="634" t="str">
        <f t="shared" si="10"/>
        <v>00000000</v>
      </c>
      <c r="H52" s="423">
        <f t="shared" si="11"/>
        <v>0</v>
      </c>
      <c r="I52" s="355">
        <f t="shared" si="12"/>
        <v>0</v>
      </c>
      <c r="J52" s="355" t="e">
        <f t="shared" si="13"/>
        <v>#N/A</v>
      </c>
      <c r="K52" s="356" t="e">
        <f t="shared" si="14"/>
        <v>#N/A</v>
      </c>
      <c r="N52" s="357"/>
      <c r="O52" s="426" t="e">
        <f t="shared" si="15"/>
        <v>#N/A</v>
      </c>
      <c r="P52" s="358">
        <f t="shared" si="16"/>
        <v>-9.5000000000000001E-2</v>
      </c>
      <c r="Q52" s="358">
        <v>9.5000000000000001E-2</v>
      </c>
      <c r="R52" s="382" t="e">
        <f t="shared" si="17"/>
        <v>#N/A</v>
      </c>
      <c r="S52" s="394" t="e">
        <f t="shared" si="18"/>
        <v>#N/A</v>
      </c>
      <c r="T52" s="384">
        <f t="shared" si="19"/>
        <v>0.67687509440278149</v>
      </c>
      <c r="U52" s="382"/>
    </row>
    <row r="53" spans="3:22" ht="16.5" thickBot="1">
      <c r="E53" s="632" t="e">
        <f>'Static LL'!M52</f>
        <v>#N/A</v>
      </c>
      <c r="F53" s="635">
        <f>'Static LL'!R52</f>
        <v>0</v>
      </c>
      <c r="G53" s="634" t="str">
        <f t="shared" si="10"/>
        <v>00000000</v>
      </c>
      <c r="H53" s="423">
        <f t="shared" si="11"/>
        <v>0</v>
      </c>
      <c r="I53" s="355">
        <f t="shared" si="12"/>
        <v>0</v>
      </c>
      <c r="J53" s="355" t="e">
        <f t="shared" si="13"/>
        <v>#N/A</v>
      </c>
      <c r="K53" s="356" t="e">
        <f t="shared" si="14"/>
        <v>#N/A</v>
      </c>
      <c r="N53" s="357"/>
      <c r="O53" s="426" t="e">
        <f t="shared" si="15"/>
        <v>#N/A</v>
      </c>
      <c r="P53" s="358">
        <f t="shared" si="16"/>
        <v>-9.5000000000000001E-2</v>
      </c>
      <c r="Q53" s="363">
        <v>9.5000000000000001E-2</v>
      </c>
      <c r="R53" s="382" t="e">
        <f t="shared" si="17"/>
        <v>#N/A</v>
      </c>
      <c r="S53" s="394" t="e">
        <f t="shared" si="18"/>
        <v>#N/A</v>
      </c>
      <c r="T53" s="384">
        <f t="shared" si="19"/>
        <v>0.67687509440278149</v>
      </c>
      <c r="U53" s="382"/>
    </row>
    <row r="54" spans="3:22" ht="13.5" thickTop="1"/>
    <row r="59" spans="3:22" ht="16.5" thickBot="1">
      <c r="D59" s="362" t="s">
        <v>289</v>
      </c>
    </row>
    <row r="60" spans="3:22" ht="17.25" thickBot="1">
      <c r="C60" s="341" t="s">
        <v>290</v>
      </c>
      <c r="D60" s="317">
        <f>IccMax_PS2</f>
        <v>3</v>
      </c>
      <c r="F60" s="13"/>
      <c r="J60" s="335"/>
      <c r="K60" s="335"/>
    </row>
    <row r="61" spans="3:22" ht="80.25" thickTop="1" thickBot="1">
      <c r="E61" s="346" t="s">
        <v>274</v>
      </c>
      <c r="F61" s="345" t="s">
        <v>275</v>
      </c>
      <c r="G61" s="347" t="s">
        <v>276</v>
      </c>
      <c r="H61" s="347" t="s">
        <v>277</v>
      </c>
      <c r="I61" s="348" t="s">
        <v>278</v>
      </c>
      <c r="J61" s="347" t="s">
        <v>279</v>
      </c>
      <c r="K61" s="347" t="s">
        <v>280</v>
      </c>
      <c r="N61" s="1088" t="s">
        <v>305</v>
      </c>
      <c r="O61" s="1089"/>
      <c r="P61" s="1090"/>
      <c r="Q61" s="1090"/>
      <c r="R61" s="1090"/>
      <c r="S61" s="1090"/>
      <c r="T61" s="1090"/>
      <c r="U61" s="1091"/>
    </row>
    <row r="62" spans="3:22" ht="25.5">
      <c r="D62" s="30"/>
      <c r="E62" s="351" t="s">
        <v>282</v>
      </c>
      <c r="F62" s="629" t="s">
        <v>283</v>
      </c>
      <c r="G62" s="349" t="s">
        <v>284</v>
      </c>
      <c r="H62" s="350" t="s">
        <v>285</v>
      </c>
      <c r="I62" s="351" t="s">
        <v>282</v>
      </c>
      <c r="J62" s="351" t="s">
        <v>282</v>
      </c>
      <c r="K62" s="350" t="s">
        <v>281</v>
      </c>
      <c r="N62" s="352" t="s">
        <v>474</v>
      </c>
      <c r="O62" s="352" t="s">
        <v>296</v>
      </c>
      <c r="P62" s="353" t="s">
        <v>286</v>
      </c>
      <c r="Q62" s="353" t="s">
        <v>287</v>
      </c>
      <c r="R62" s="353" t="s">
        <v>297</v>
      </c>
      <c r="S62" s="381" t="s">
        <v>298</v>
      </c>
      <c r="T62" s="393" t="s">
        <v>304</v>
      </c>
      <c r="U62" s="353" t="s">
        <v>303</v>
      </c>
      <c r="V62" s="377"/>
    </row>
    <row r="63" spans="3:22" ht="15.75">
      <c r="E63" s="636">
        <f>'Static LL'!M70</f>
        <v>0</v>
      </c>
      <c r="F63" s="635">
        <f>'Static LL'!T70</f>
        <v>0</v>
      </c>
      <c r="G63" s="634" t="str">
        <f>HEX2BIN($F63,8)</f>
        <v>00000000</v>
      </c>
      <c r="H63" s="423">
        <f>HEX2DEC($F63)</f>
        <v>0</v>
      </c>
      <c r="I63" s="355">
        <f>H63*$H$11</f>
        <v>0</v>
      </c>
      <c r="J63" s="355">
        <f>I63-E63</f>
        <v>0</v>
      </c>
      <c r="K63" s="356" t="e">
        <f>J63/E63</f>
        <v>#DIV/0!</v>
      </c>
      <c r="N63" s="357"/>
      <c r="O63" s="426">
        <f t="shared" ref="O63:O67" si="20">ROUND(E63,0)</f>
        <v>0</v>
      </c>
      <c r="P63" s="358" t="e">
        <f>-Q63</f>
        <v>#N/A</v>
      </c>
      <c r="Q63" s="358" t="e">
        <f>VLOOKUP(O63,$O$43:$Q$53,3,TRUE)</f>
        <v>#N/A</v>
      </c>
      <c r="R63" s="382" t="e">
        <f>O63+(P63*O63)</f>
        <v>#N/A</v>
      </c>
      <c r="S63" s="394" t="e">
        <f>O63+(Q63*O63)</f>
        <v>#N/A</v>
      </c>
      <c r="T63" s="384">
        <f>I63*Slope+Offset</f>
        <v>0.67687509440278149</v>
      </c>
      <c r="U63" s="382"/>
    </row>
    <row r="64" spans="3:22" ht="15.75">
      <c r="E64" s="636">
        <f>'Static LL'!M71</f>
        <v>2</v>
      </c>
      <c r="F64" s="635">
        <f>'Static LL'!T71</f>
        <v>8</v>
      </c>
      <c r="G64" s="634" t="str">
        <f>HEX2BIN($F64,8)</f>
        <v>00001000</v>
      </c>
      <c r="H64" s="423">
        <f>HEX2DEC($F64)</f>
        <v>8</v>
      </c>
      <c r="I64" s="355">
        <f>H64*$H$11</f>
        <v>2.1960784313725492</v>
      </c>
      <c r="J64" s="355">
        <f>I64-E64</f>
        <v>0.19607843137254921</v>
      </c>
      <c r="K64" s="356">
        <f>J64/E64</f>
        <v>9.8039215686274606E-2</v>
      </c>
      <c r="N64" s="357"/>
      <c r="O64" s="426">
        <f t="shared" si="20"/>
        <v>2</v>
      </c>
      <c r="P64" s="358">
        <f>-Q64</f>
        <v>-1</v>
      </c>
      <c r="Q64" s="358">
        <f>VLOOKUP(O64,$O$43:$Q$53,3,TRUE)</f>
        <v>1</v>
      </c>
      <c r="R64" s="382">
        <f>O64+(P64*O64)</f>
        <v>0</v>
      </c>
      <c r="S64" s="394">
        <f>O64+(Q64*O64)</f>
        <v>4</v>
      </c>
      <c r="T64" s="384">
        <f>I64*Slope+Offset</f>
        <v>2.8043974346936853</v>
      </c>
      <c r="U64" s="382"/>
      <c r="V64" s="377"/>
    </row>
    <row r="65" spans="3:23" ht="15.75">
      <c r="E65" s="636">
        <f>'Static LL'!M72</f>
        <v>3</v>
      </c>
      <c r="F65" s="635" t="str">
        <f>'Static LL'!T72</f>
        <v>0C</v>
      </c>
      <c r="G65" s="634" t="str">
        <f>HEX2BIN($F65,8)</f>
        <v>00001100</v>
      </c>
      <c r="H65" s="423">
        <f>HEX2DEC($F65)</f>
        <v>12</v>
      </c>
      <c r="I65" s="355">
        <f>H65*$H$11</f>
        <v>3.2941176470588238</v>
      </c>
      <c r="J65" s="355">
        <f>I65-E65</f>
        <v>0.29411764705882382</v>
      </c>
      <c r="K65" s="356">
        <f>J65/E65</f>
        <v>9.8039215686274606E-2</v>
      </c>
      <c r="N65" s="357"/>
      <c r="O65" s="426">
        <f t="shared" si="20"/>
        <v>3</v>
      </c>
      <c r="P65" s="358">
        <f>-Q65</f>
        <v>-1</v>
      </c>
      <c r="Q65" s="358">
        <f>VLOOKUP(O65,$O$43:$Q$53,3,TRUE)</f>
        <v>1</v>
      </c>
      <c r="R65" s="382">
        <f>O65+(P65*O65)</f>
        <v>0</v>
      </c>
      <c r="S65" s="394">
        <f>O65+(Q65*O65)</f>
        <v>6</v>
      </c>
      <c r="T65" s="384">
        <f>I65*Slope+Offset</f>
        <v>3.8681586048391368</v>
      </c>
      <c r="U65" s="382"/>
    </row>
    <row r="66" spans="3:23" ht="15.75">
      <c r="E66" s="636">
        <f>'Static LL'!M73</f>
        <v>4</v>
      </c>
      <c r="F66" s="635">
        <f>'Static LL'!T73</f>
        <v>10</v>
      </c>
      <c r="G66" s="634" t="str">
        <f>HEX2BIN($F66,8)</f>
        <v>00010000</v>
      </c>
      <c r="H66" s="423">
        <f>HEX2DEC($F66)</f>
        <v>16</v>
      </c>
      <c r="I66" s="355">
        <f>H66*$H$11</f>
        <v>4.3921568627450984</v>
      </c>
      <c r="J66" s="355">
        <f>I66-E66</f>
        <v>0.39215686274509842</v>
      </c>
      <c r="K66" s="356">
        <f>J66/E66</f>
        <v>9.8039215686274606E-2</v>
      </c>
      <c r="N66" s="357"/>
      <c r="O66" s="426">
        <f t="shared" si="20"/>
        <v>4</v>
      </c>
      <c r="P66" s="358">
        <f>-Q66</f>
        <v>-1</v>
      </c>
      <c r="Q66" s="358">
        <f>VLOOKUP(O66,$O$43:$Q$53,3,TRUE)</f>
        <v>1</v>
      </c>
      <c r="R66" s="383">
        <f>O66+(P66*O66)</f>
        <v>0</v>
      </c>
      <c r="S66" s="394">
        <f>O66+(Q66*O66)</f>
        <v>8</v>
      </c>
      <c r="T66" s="384">
        <f>I66*Slope+Offset</f>
        <v>4.9319197749845891</v>
      </c>
      <c r="U66" s="383"/>
    </row>
    <row r="67" spans="3:23" ht="15.75">
      <c r="E67" s="636">
        <f>'Static LL'!M74</f>
        <v>5</v>
      </c>
      <c r="F67" s="635">
        <f>'Static LL'!T74</f>
        <v>14</v>
      </c>
      <c r="G67" s="634" t="str">
        <f>HEX2BIN($F67,8)</f>
        <v>00010100</v>
      </c>
      <c r="H67" s="423">
        <f>HEX2DEC($F67)</f>
        <v>20</v>
      </c>
      <c r="I67" s="355">
        <f>H67*$H$11</f>
        <v>5.4901960784313726</v>
      </c>
      <c r="J67" s="355">
        <f>I67-E67</f>
        <v>0.49019607843137258</v>
      </c>
      <c r="K67" s="356">
        <f>J67/E67</f>
        <v>9.8039215686274522E-2</v>
      </c>
      <c r="N67" s="357"/>
      <c r="O67" s="426">
        <f t="shared" si="20"/>
        <v>5</v>
      </c>
      <c r="P67" s="358">
        <f>-Q67</f>
        <v>-1</v>
      </c>
      <c r="Q67" s="358">
        <f>VLOOKUP(O67,$O$43:$Q$53,3,TRUE)</f>
        <v>1</v>
      </c>
      <c r="R67" s="382">
        <f>O67+(P67*O67)</f>
        <v>0</v>
      </c>
      <c r="S67" s="394">
        <f>O67+(Q67*O67)</f>
        <v>10</v>
      </c>
      <c r="T67" s="384">
        <f>I67*Slope+Offset</f>
        <v>5.9956809451300401</v>
      </c>
      <c r="U67" s="382"/>
    </row>
    <row r="73" spans="3:23" ht="16.5" thickBot="1">
      <c r="D73" s="362" t="s">
        <v>289</v>
      </c>
    </row>
    <row r="74" spans="3:23" ht="17.25" thickBot="1">
      <c r="C74" s="341" t="s">
        <v>291</v>
      </c>
      <c r="D74" s="317">
        <f>IccMax_PS3</f>
        <v>1</v>
      </c>
      <c r="F74" s="13"/>
      <c r="J74" s="335"/>
      <c r="K74" s="335"/>
    </row>
    <row r="75" spans="3:23" ht="61.5" customHeight="1" thickTop="1" thickBot="1">
      <c r="E75" s="346" t="s">
        <v>274</v>
      </c>
      <c r="F75" s="345" t="s">
        <v>275</v>
      </c>
      <c r="G75" s="347" t="s">
        <v>276</v>
      </c>
      <c r="H75" s="347" t="s">
        <v>277</v>
      </c>
      <c r="I75" s="348" t="s">
        <v>278</v>
      </c>
      <c r="J75" s="347" t="s">
        <v>279</v>
      </c>
      <c r="K75" s="347" t="s">
        <v>280</v>
      </c>
      <c r="N75" s="1088" t="s">
        <v>305</v>
      </c>
      <c r="O75" s="1089"/>
      <c r="P75" s="1090"/>
      <c r="Q75" s="1090"/>
      <c r="R75" s="1090"/>
      <c r="S75" s="1090"/>
      <c r="T75" s="1090"/>
      <c r="U75" s="1091"/>
      <c r="W75" s="17"/>
    </row>
    <row r="76" spans="3:23" ht="25.5">
      <c r="E76" s="374" t="s">
        <v>282</v>
      </c>
      <c r="F76" s="629" t="s">
        <v>283</v>
      </c>
      <c r="G76" s="349" t="s">
        <v>284</v>
      </c>
      <c r="H76" s="350" t="s">
        <v>285</v>
      </c>
      <c r="I76" s="351" t="s">
        <v>282</v>
      </c>
      <c r="J76" s="351" t="s">
        <v>282</v>
      </c>
      <c r="K76" s="350" t="s">
        <v>281</v>
      </c>
      <c r="N76" s="352" t="s">
        <v>474</v>
      </c>
      <c r="O76" s="352" t="s">
        <v>296</v>
      </c>
      <c r="P76" s="353" t="s">
        <v>286</v>
      </c>
      <c r="Q76" s="353" t="s">
        <v>287</v>
      </c>
      <c r="R76" s="353" t="s">
        <v>297</v>
      </c>
      <c r="S76" s="381" t="s">
        <v>298</v>
      </c>
      <c r="T76" s="393" t="s">
        <v>304</v>
      </c>
      <c r="U76" s="353" t="s">
        <v>303</v>
      </c>
      <c r="V76" s="377"/>
    </row>
    <row r="77" spans="3:23" ht="15.75">
      <c r="E77" s="644">
        <f>'Static LL'!M99</f>
        <v>0</v>
      </c>
      <c r="F77" s="635">
        <f>'Static LL'!T99</f>
        <v>0</v>
      </c>
      <c r="G77" s="360" t="str">
        <f>HEX2BIN($F77,8)</f>
        <v>00000000</v>
      </c>
      <c r="H77" s="640">
        <f>HEX2DEC($F77)</f>
        <v>0</v>
      </c>
      <c r="I77" s="641">
        <f>H77*$H$11</f>
        <v>0</v>
      </c>
      <c r="J77" s="641">
        <f>I77-E77</f>
        <v>0</v>
      </c>
      <c r="K77" s="642" t="e">
        <f>J77/E77</f>
        <v>#DIV/0!</v>
      </c>
      <c r="N77" s="357"/>
      <c r="O77" s="378">
        <f t="shared" ref="O77:O78" si="21">ROUND(E77,0)</f>
        <v>0</v>
      </c>
      <c r="P77" s="358">
        <f>-Q77</f>
        <v>-0.22</v>
      </c>
      <c r="Q77" s="358">
        <v>0.22</v>
      </c>
      <c r="R77" s="382">
        <f>IF('Spec Entry'!$G$28="HVM Validation",O77+(P77*O77),"")</f>
        <v>0</v>
      </c>
      <c r="S77" s="394">
        <f>IF('Spec Entry'!$G$28="HVM Validation",O77+(Q77*O77),"")</f>
        <v>0</v>
      </c>
      <c r="T77" s="384">
        <f>I77*Slope+Offset</f>
        <v>0.67687509440278149</v>
      </c>
      <c r="U77" s="382"/>
      <c r="V77" s="377"/>
    </row>
    <row r="78" spans="3:23" ht="16.5" thickBot="1">
      <c r="E78" s="645">
        <f>'Static LL'!M100</f>
        <v>2</v>
      </c>
      <c r="F78" s="643">
        <f>'Static LL'!T100</f>
        <v>8</v>
      </c>
      <c r="G78" s="326" t="str">
        <f>HEX2BIN($F78,8)</f>
        <v>00001000</v>
      </c>
      <c r="H78" s="637">
        <f>HEX2DEC($F78)</f>
        <v>8</v>
      </c>
      <c r="I78" s="638">
        <f>H78*$H$11</f>
        <v>2.1960784313725492</v>
      </c>
      <c r="J78" s="638">
        <f>I78-E78</f>
        <v>0.19607843137254921</v>
      </c>
      <c r="K78" s="639">
        <f>J78/E78</f>
        <v>9.8039215686274606E-2</v>
      </c>
      <c r="N78" s="357"/>
      <c r="O78" s="378">
        <f t="shared" si="21"/>
        <v>2</v>
      </c>
      <c r="P78" s="358">
        <f>-Q78</f>
        <v>-1</v>
      </c>
      <c r="Q78" s="358">
        <f>VLOOKUP(O78,$O$43:$Q$53,3,TRUE)</f>
        <v>1</v>
      </c>
      <c r="R78" s="382">
        <f>IF('Spec Entry'!$G$28="HVM Validation",O78+(P78*O78),"")</f>
        <v>0</v>
      </c>
      <c r="S78" s="394">
        <f>IF('Spec Entry'!$G$28="HVM Validation",O78+(Q78*O78),"")</f>
        <v>4</v>
      </c>
      <c r="T78" s="384">
        <f>I78*Slope+Offset</f>
        <v>2.8043974346936853</v>
      </c>
      <c r="U78" s="382"/>
      <c r="V78" s="377"/>
    </row>
    <row r="82" ht="13.5" customHeight="1"/>
    <row r="83" ht="25.5" customHeight="1"/>
    <row r="97" spans="5:16">
      <c r="H97" s="1087" t="s">
        <v>334</v>
      </c>
      <c r="I97" s="1087"/>
      <c r="J97">
        <f>phases</f>
        <v>2</v>
      </c>
    </row>
    <row r="98" spans="5:16">
      <c r="H98" s="1087" t="s">
        <v>335</v>
      </c>
      <c r="I98" s="1087"/>
      <c r="J98">
        <f>DCR</f>
        <v>7</v>
      </c>
    </row>
    <row r="99" spans="5:16">
      <c r="I99" s="44" t="s">
        <v>332</v>
      </c>
      <c r="J99">
        <f>IF(J100="VccSA",9,IF(J97=1,2,IF(J97=2,IF(DCR=7,3,4),IF(J97=3,IF(DCR=7,5,6),IF(J97=4,IF(DCR=7,7,8),"Set values")))))</f>
        <v>3</v>
      </c>
    </row>
    <row r="100" spans="5:16">
      <c r="I100" s="69" t="s">
        <v>497</v>
      </c>
      <c r="J100" s="433" t="str">
        <f>Rail</f>
        <v>VccIA</v>
      </c>
    </row>
    <row r="101" spans="5:16">
      <c r="H101"/>
      <c r="J101" s="69"/>
    </row>
    <row r="102" spans="5:16" ht="13.5" thickBot="1">
      <c r="H102"/>
      <c r="P102" s="17"/>
    </row>
    <row r="103" spans="5:16" ht="13.5" thickTop="1">
      <c r="G103" s="745" t="s">
        <v>510</v>
      </c>
      <c r="H103" s="741"/>
      <c r="I103" s="741"/>
      <c r="J103" s="741"/>
      <c r="K103" s="741"/>
      <c r="L103" s="741"/>
      <c r="M103" s="741"/>
      <c r="N103" s="742"/>
    </row>
    <row r="104" spans="5:16" ht="13.5" thickBot="1">
      <c r="G104" s="743">
        <v>2</v>
      </c>
      <c r="H104" s="110">
        <v>3</v>
      </c>
      <c r="I104" s="110">
        <v>4</v>
      </c>
      <c r="J104" s="110">
        <v>5</v>
      </c>
      <c r="K104" s="110">
        <v>6</v>
      </c>
      <c r="L104" s="110">
        <v>7</v>
      </c>
      <c r="M104" s="110">
        <v>8</v>
      </c>
      <c r="N104" s="744">
        <v>9</v>
      </c>
    </row>
    <row r="105" spans="5:16">
      <c r="G105" s="424" t="s">
        <v>462</v>
      </c>
      <c r="H105" s="1085" t="s">
        <v>331</v>
      </c>
      <c r="I105" s="1086"/>
      <c r="J105" s="1085" t="s">
        <v>330</v>
      </c>
      <c r="K105" s="1086"/>
      <c r="L105" s="1082" t="s">
        <v>327</v>
      </c>
      <c r="M105" s="1083"/>
      <c r="N105" s="717" t="s">
        <v>487</v>
      </c>
    </row>
    <row r="106" spans="5:16">
      <c r="G106" s="716" t="s">
        <v>329</v>
      </c>
      <c r="H106" s="1022" t="s">
        <v>329</v>
      </c>
      <c r="I106" s="1084"/>
      <c r="J106" s="1022" t="s">
        <v>329</v>
      </c>
      <c r="K106" s="1084"/>
      <c r="L106" s="1022" t="s">
        <v>329</v>
      </c>
      <c r="M106" s="1084"/>
      <c r="N106" s="726"/>
    </row>
    <row r="107" spans="5:16" ht="13.5" thickBot="1">
      <c r="F107" s="433" t="s">
        <v>328</v>
      </c>
      <c r="G107" s="728">
        <v>5</v>
      </c>
      <c r="H107" s="729">
        <v>7</v>
      </c>
      <c r="I107" s="730">
        <v>5</v>
      </c>
      <c r="J107" s="738">
        <v>7</v>
      </c>
      <c r="K107" s="730">
        <v>5</v>
      </c>
      <c r="L107" s="738">
        <v>7</v>
      </c>
      <c r="M107" s="730">
        <v>5</v>
      </c>
      <c r="N107" s="731"/>
    </row>
    <row r="108" spans="5:16">
      <c r="F108">
        <f>ROUND(IccMax*5%,0)</f>
        <v>4</v>
      </c>
      <c r="G108" s="732">
        <v>0.13</v>
      </c>
      <c r="H108" s="733">
        <v>0.16</v>
      </c>
      <c r="I108" s="720"/>
      <c r="J108" s="733">
        <v>0.34499999999999997</v>
      </c>
      <c r="K108" s="720"/>
      <c r="L108" s="733">
        <v>0.24399999999999999</v>
      </c>
      <c r="M108" s="720"/>
      <c r="N108" s="727">
        <v>0.32800000000000001</v>
      </c>
    </row>
    <row r="109" spans="5:16">
      <c r="F109">
        <f>ROUND(IccMax*10%,0)</f>
        <v>7</v>
      </c>
      <c r="G109" s="734">
        <v>8.1000000000000003E-2</v>
      </c>
      <c r="H109" s="735">
        <v>9.6000000000000002E-2</v>
      </c>
      <c r="I109" s="720"/>
      <c r="J109" s="735">
        <v>0.13200000000000001</v>
      </c>
      <c r="K109" s="720"/>
      <c r="L109" s="735">
        <v>0.13100000000000001</v>
      </c>
      <c r="M109" s="720"/>
      <c r="N109" s="718">
        <v>0.17199999999999999</v>
      </c>
    </row>
    <row r="110" spans="5:16">
      <c r="E110">
        <v>20</v>
      </c>
      <c r="F110">
        <f>ROUND(IccMax*20%,0)</f>
        <v>14</v>
      </c>
      <c r="G110" s="734">
        <v>6.3E-2</v>
      </c>
      <c r="H110" s="735">
        <v>7.1999999999999995E-2</v>
      </c>
      <c r="I110" s="720"/>
      <c r="J110" s="739">
        <v>8.2000000000000003E-2</v>
      </c>
      <c r="K110" s="720"/>
      <c r="L110" s="735">
        <v>0.08</v>
      </c>
      <c r="M110" s="721"/>
      <c r="N110" s="718">
        <v>9.9000000000000005E-2</v>
      </c>
    </row>
    <row r="111" spans="5:16">
      <c r="F111">
        <f>ROUND(IccMax*30%,0)</f>
        <v>21</v>
      </c>
      <c r="G111" s="734">
        <v>5.8999999999999997E-2</v>
      </c>
      <c r="H111" s="735">
        <v>6.7000000000000004E-2</v>
      </c>
      <c r="I111" s="720"/>
      <c r="J111" s="739">
        <v>7.0000000000000007E-2</v>
      </c>
      <c r="K111" s="720"/>
      <c r="L111" s="735">
        <v>6.7000000000000004E-2</v>
      </c>
      <c r="M111" s="722"/>
      <c r="N111" s="718">
        <v>0.09</v>
      </c>
    </row>
    <row r="112" spans="5:16">
      <c r="F112">
        <f>ROUND(IccMax*40%,0)</f>
        <v>28</v>
      </c>
      <c r="G112" s="734">
        <v>5.8000000000000003E-2</v>
      </c>
      <c r="H112" s="735">
        <v>6.5000000000000002E-2</v>
      </c>
      <c r="I112" s="720"/>
      <c r="J112" s="739">
        <v>6.4000000000000001E-2</v>
      </c>
      <c r="K112" s="720"/>
      <c r="L112" s="735">
        <v>6.0999999999999999E-2</v>
      </c>
      <c r="M112" s="722"/>
      <c r="N112" s="718">
        <v>0.09</v>
      </c>
    </row>
    <row r="113" spans="5:14">
      <c r="F113">
        <f>ROUND(IccMax*50%,0)</f>
        <v>35</v>
      </c>
      <c r="G113" s="734">
        <v>5.7000000000000002E-2</v>
      </c>
      <c r="H113" s="735">
        <v>6.4000000000000001E-2</v>
      </c>
      <c r="I113" s="720"/>
      <c r="J113" s="739">
        <v>6.2E-2</v>
      </c>
      <c r="K113" s="720"/>
      <c r="L113" s="735">
        <v>5.8000000000000003E-2</v>
      </c>
      <c r="M113" s="721"/>
      <c r="N113" s="718">
        <v>0.09</v>
      </c>
    </row>
    <row r="114" spans="5:14">
      <c r="F114">
        <f>ROUND(IccMax*60%,0)</f>
        <v>42</v>
      </c>
      <c r="G114" s="734">
        <v>5.7000000000000002E-2</v>
      </c>
      <c r="H114" s="735">
        <v>6.3E-2</v>
      </c>
      <c r="I114" s="720"/>
      <c r="J114" s="739">
        <v>0.06</v>
      </c>
      <c r="K114" s="720"/>
      <c r="L114" s="735">
        <v>5.7000000000000002E-2</v>
      </c>
      <c r="M114" s="722"/>
      <c r="N114" s="718">
        <v>0.09</v>
      </c>
    </row>
    <row r="115" spans="5:14">
      <c r="F115">
        <f>ROUND(IccMax*70%,0)</f>
        <v>49</v>
      </c>
      <c r="G115" s="734">
        <v>5.6000000000000001E-2</v>
      </c>
      <c r="H115" s="735">
        <v>6.3E-2</v>
      </c>
      <c r="I115" s="720"/>
      <c r="J115" s="739">
        <v>5.9883061326519771E-2</v>
      </c>
      <c r="K115" s="720"/>
      <c r="L115" s="735">
        <v>5.6000000000000001E-2</v>
      </c>
      <c r="M115" s="722"/>
      <c r="N115" s="718">
        <v>0.09</v>
      </c>
    </row>
    <row r="116" spans="5:14">
      <c r="E116">
        <v>80</v>
      </c>
      <c r="F116">
        <f>ROUND(IccMax*80%,0)</f>
        <v>56</v>
      </c>
      <c r="G116" s="734">
        <v>5.6000000000000001E-2</v>
      </c>
      <c r="H116" s="735">
        <v>6.3E-2</v>
      </c>
      <c r="I116" s="720"/>
      <c r="J116" s="739">
        <v>5.9238404806598893E-2</v>
      </c>
      <c r="K116" s="720"/>
      <c r="L116" s="735">
        <v>5.5E-2</v>
      </c>
      <c r="M116" s="722"/>
      <c r="N116" s="718">
        <v>0.09</v>
      </c>
    </row>
    <row r="117" spans="5:14">
      <c r="F117">
        <f>ROUND(IccMax*90%,0)</f>
        <v>63</v>
      </c>
      <c r="G117" s="734">
        <v>5.6000000000000001E-2</v>
      </c>
      <c r="H117" s="735">
        <v>6.3E-2</v>
      </c>
      <c r="I117" s="720"/>
      <c r="J117" s="739">
        <v>5.8792346159773079E-2</v>
      </c>
      <c r="K117" s="720"/>
      <c r="L117" s="735">
        <v>5.5E-2</v>
      </c>
      <c r="M117" s="722"/>
      <c r="N117" s="718">
        <v>0.09</v>
      </c>
    </row>
    <row r="118" spans="5:14" ht="13.5" thickBot="1">
      <c r="F118">
        <f>IccMax</f>
        <v>70</v>
      </c>
      <c r="G118" s="736">
        <v>5.6000000000000001E-2</v>
      </c>
      <c r="H118" s="737">
        <v>6.2E-2</v>
      </c>
      <c r="I118" s="724"/>
      <c r="J118" s="740">
        <v>5.8471195528905569E-2</v>
      </c>
      <c r="K118" s="724"/>
      <c r="L118" s="725">
        <v>5.5E-2</v>
      </c>
      <c r="M118" s="723"/>
      <c r="N118" s="719">
        <v>0.09</v>
      </c>
    </row>
  </sheetData>
  <mergeCells count="12">
    <mergeCell ref="H97:I97"/>
    <mergeCell ref="H98:I98"/>
    <mergeCell ref="N21:U21"/>
    <mergeCell ref="N41:U41"/>
    <mergeCell ref="N61:U61"/>
    <mergeCell ref="N75:U75"/>
    <mergeCell ref="L105:M105"/>
    <mergeCell ref="L106:M106"/>
    <mergeCell ref="J105:K105"/>
    <mergeCell ref="J106:K106"/>
    <mergeCell ref="H105:I105"/>
    <mergeCell ref="H106:I106"/>
  </mergeCells>
  <phoneticPr fontId="86" type="noConversion"/>
  <conditionalFormatting sqref="Q8 G8:N8">
    <cfRule type="expression" dxfId="47" priority="3">
      <formula>G$6=1</formula>
    </cfRule>
    <cfRule type="expression" dxfId="46" priority="4">
      <formula>G$6=0</formula>
    </cfRule>
  </conditionalFormatting>
  <conditionalFormatting sqref="S9:T9">
    <cfRule type="expression" dxfId="45" priority="31">
      <formula>W$6=1</formula>
    </cfRule>
    <cfRule type="expression" dxfId="44" priority="32">
      <formula>W$6=0</formula>
    </cfRule>
  </conditionalFormatting>
  <conditionalFormatting sqref="U9">
    <cfRule type="expression" dxfId="43" priority="43">
      <formula>K$6=1</formula>
    </cfRule>
    <cfRule type="expression" dxfId="42" priority="44">
      <formula>K$6=0</formula>
    </cfRule>
  </conditionalFormatting>
  <conditionalFormatting sqref="P9:R9">
    <cfRule type="expression" dxfId="41" priority="47">
      <formula>L$6=1</formula>
    </cfRule>
    <cfRule type="expression" dxfId="40" priority="48">
      <formula>L$6=0</formula>
    </cfRule>
  </conditionalFormatting>
  <conditionalFormatting sqref="N9:O10">
    <cfRule type="expression" dxfId="39" priority="49">
      <formula>M$6=1</formula>
    </cfRule>
    <cfRule type="expression" dxfId="38" priority="50">
      <formula>M$6=0</formula>
    </cfRule>
  </conditionalFormatting>
  <conditionalFormatting sqref="M9">
    <cfRule type="expression" dxfId="37" priority="51">
      <formula>N$6=1</formula>
    </cfRule>
    <cfRule type="expression" dxfId="36" priority="52">
      <formula>N$6=0</formula>
    </cfRule>
  </conditionalFormatting>
  <pageMargins left="0.7" right="0.7" top="0.75" bottom="0.75" header="0.3" footer="0.3"/>
  <pageSetup orientation="portrait" r:id="rId1"/>
  <drawing r:id="rId2"/>
  <tableParts count="4">
    <tablePart r:id="rId3"/>
    <tablePart r:id="rId4"/>
    <tablePart r:id="rId5"/>
    <tablePart r:id="rId6"/>
  </tableParts>
</worksheet>
</file>

<file path=xl/worksheets/sheet17.xml><?xml version="1.0" encoding="utf-8"?>
<worksheet xmlns="http://schemas.openxmlformats.org/spreadsheetml/2006/main" xmlns:r="http://schemas.openxmlformats.org/officeDocument/2006/relationships">
  <sheetPr codeName="Sheet17"/>
  <dimension ref="A1:T480"/>
  <sheetViews>
    <sheetView zoomScaleNormal="100" workbookViewId="0">
      <selection sqref="A1:B1"/>
    </sheetView>
  </sheetViews>
  <sheetFormatPr defaultRowHeight="12.75"/>
  <cols>
    <col min="1" max="1" width="14.7109375" customWidth="1"/>
    <col min="2" max="2" width="14.7109375" style="584" customWidth="1"/>
    <col min="3" max="11" width="14.7109375" customWidth="1"/>
    <col min="12" max="12" width="14.7109375" style="584" customWidth="1"/>
    <col min="13" max="19" width="14.7109375" customWidth="1"/>
  </cols>
  <sheetData>
    <row r="1" spans="1:17">
      <c r="A1" s="1080">
        <f>+Raw_data!A1</f>
        <v>0</v>
      </c>
      <c r="B1" s="1080"/>
      <c r="E1" s="1097" t="s">
        <v>454</v>
      </c>
      <c r="F1" s="931"/>
      <c r="G1" s="872"/>
      <c r="H1" s="1097" t="s">
        <v>455</v>
      </c>
      <c r="I1" s="931"/>
      <c r="J1" s="872"/>
    </row>
    <row r="2" spans="1:17">
      <c r="A2" s="584">
        <f>+Raw_data!A2</f>
        <v>0</v>
      </c>
      <c r="B2" s="433">
        <f>+Raw_data!A3</f>
        <v>0</v>
      </c>
      <c r="C2" s="434">
        <f>+Raw_data!A4</f>
        <v>2446</v>
      </c>
      <c r="E2" s="1093" t="s">
        <v>456</v>
      </c>
      <c r="F2" s="1094"/>
      <c r="G2" s="586">
        <f>VLOOKUP(20,'IOUT Calcs'!$E$108:$L$118,Iout_spec+1,FALSE)</f>
        <v>7.1999999999999995E-2</v>
      </c>
      <c r="H2" s="1098" t="s">
        <v>456</v>
      </c>
      <c r="I2" s="1099"/>
      <c r="J2" s="586">
        <f>VLOOKUP(80,'IOUT Calcs'!$E$108:$L$118,Iout_spec+1,FALSE)</f>
        <v>6.3E-2</v>
      </c>
      <c r="O2" s="1072" t="s">
        <v>343</v>
      </c>
      <c r="P2" s="874"/>
      <c r="Q2" s="874"/>
    </row>
    <row r="3" spans="1:17">
      <c r="B3" s="436" t="s">
        <v>344</v>
      </c>
      <c r="C3" s="584">
        <f>HEX2DEC(RIGHT(C2,2))</f>
        <v>70</v>
      </c>
      <c r="D3" s="437"/>
      <c r="E3" s="1095" t="s">
        <v>457</v>
      </c>
      <c r="F3" s="1096"/>
      <c r="G3" s="586">
        <f>VLOOKUP(20,'IOUT Calcs'!$E$108:$L$118,Iout_spec+1,FALSE)*-1</f>
        <v>-7.1999999999999995E-2</v>
      </c>
      <c r="H3" s="1100" t="s">
        <v>457</v>
      </c>
      <c r="I3" s="1101"/>
      <c r="J3" s="586">
        <f>VLOOKUP(80,'IOUT Calcs'!$E$108:$L$118,Iout_spec+1,FALSE)*-1</f>
        <v>-6.3E-2</v>
      </c>
      <c r="O3" s="1102" t="s">
        <v>345</v>
      </c>
      <c r="P3" s="1102" t="s">
        <v>346</v>
      </c>
      <c r="Q3" s="1102" t="s">
        <v>347</v>
      </c>
    </row>
    <row r="4" spans="1:17">
      <c r="G4" t="s">
        <v>118</v>
      </c>
      <c r="O4" s="1102"/>
      <c r="P4" s="1102"/>
      <c r="Q4" s="1102"/>
    </row>
    <row r="5" spans="1:17">
      <c r="B5" s="440">
        <f>+Raw_data!A5</f>
        <v>0</v>
      </c>
      <c r="C5" s="440">
        <f>+Raw_data!A50</f>
        <v>0</v>
      </c>
      <c r="D5" s="440">
        <f>+Raw_data!A95</f>
        <v>0</v>
      </c>
      <c r="E5" s="441">
        <f>+Raw_data!A140</f>
        <v>0</v>
      </c>
      <c r="F5" s="440">
        <f>+Raw_data!A185</f>
        <v>0</v>
      </c>
      <c r="G5" s="440">
        <f>+Raw_data!A230</f>
        <v>0</v>
      </c>
      <c r="H5" s="440">
        <f>+Raw_data!A275</f>
        <v>0</v>
      </c>
      <c r="I5" s="440">
        <f>+Raw_data!A320</f>
        <v>0</v>
      </c>
      <c r="J5" s="440">
        <f>+Raw_data!A365</f>
        <v>0</v>
      </c>
      <c r="K5" s="440">
        <f>+Raw_data!A410</f>
        <v>0</v>
      </c>
      <c r="L5" s="438"/>
      <c r="M5" s="44"/>
      <c r="O5" s="587">
        <f>+$G$2</f>
        <v>7.1999999999999995E-2</v>
      </c>
      <c r="P5" s="587">
        <f>+$G$3</f>
        <v>-7.1999999999999995E-2</v>
      </c>
      <c r="Q5" s="588">
        <f>+B58</f>
        <v>0</v>
      </c>
    </row>
    <row r="6" spans="1:17">
      <c r="A6" s="436" t="s">
        <v>348</v>
      </c>
      <c r="B6" s="438">
        <f>+Raw_data!A6</f>
        <v>0</v>
      </c>
      <c r="C6" s="438">
        <f>+Raw_data!A51</f>
        <v>0</v>
      </c>
      <c r="D6" s="438">
        <f>+Raw_data!A96</f>
        <v>0</v>
      </c>
      <c r="E6" s="439">
        <f>+Raw_data!A141</f>
        <v>0</v>
      </c>
      <c r="F6" s="438">
        <f>+Raw_data!A186</f>
        <v>0</v>
      </c>
      <c r="G6" s="438">
        <f>+Raw_data!A231</f>
        <v>0</v>
      </c>
      <c r="H6" s="438">
        <f>+Raw_data!A276</f>
        <v>0</v>
      </c>
      <c r="I6" s="438">
        <f>+Raw_data!A321</f>
        <v>0</v>
      </c>
      <c r="J6" s="438">
        <f>+Raw_data!A366</f>
        <v>0</v>
      </c>
      <c r="K6" s="438">
        <f>+Raw_data!A411</f>
        <v>0</v>
      </c>
      <c r="O6" s="587">
        <f>+$G$2</f>
        <v>7.1999999999999995E-2</v>
      </c>
      <c r="P6" s="587">
        <f>+$G$3</f>
        <v>-7.1999999999999995E-2</v>
      </c>
      <c r="Q6" s="589">
        <f>+B79</f>
        <v>300</v>
      </c>
    </row>
    <row r="7" spans="1:17">
      <c r="A7" s="1092" t="s">
        <v>349</v>
      </c>
      <c r="B7" s="440" t="str">
        <f>+Raw_data!A12</f>
        <v>04D1</v>
      </c>
      <c r="C7" s="440" t="str">
        <f>+Raw_data!A57</f>
        <v>24D0</v>
      </c>
      <c r="D7" s="440" t="str">
        <f>+Raw_data!A102</f>
        <v>04D1</v>
      </c>
      <c r="E7" s="441" t="str">
        <f>+Raw_data!A147</f>
        <v>24D0</v>
      </c>
      <c r="F7" s="440" t="str">
        <f>+Raw_data!A192</f>
        <v>04D1</v>
      </c>
      <c r="G7" s="440" t="str">
        <f>+Raw_data!A237</f>
        <v>04D1</v>
      </c>
      <c r="H7" s="440" t="str">
        <f>+Raw_data!A282</f>
        <v>24D0</v>
      </c>
      <c r="I7" s="440" t="str">
        <f>+Raw_data!A327</f>
        <v>04D1</v>
      </c>
      <c r="J7" s="440" t="str">
        <f>+Raw_data!A372</f>
        <v>04D1</v>
      </c>
      <c r="K7" s="440" t="str">
        <f>+Raw_data!A417</f>
        <v>04D1</v>
      </c>
      <c r="O7" s="1102" t="s">
        <v>345</v>
      </c>
      <c r="P7" s="1102" t="s">
        <v>346</v>
      </c>
      <c r="Q7" s="1102" t="s">
        <v>347</v>
      </c>
    </row>
    <row r="8" spans="1:17">
      <c r="A8" s="1092"/>
      <c r="B8" s="440" t="str">
        <f>+Raw_data!A13</f>
        <v>04D1</v>
      </c>
      <c r="C8" s="440" t="str">
        <f>+Raw_data!A58</f>
        <v>04D1</v>
      </c>
      <c r="D8" s="440" t="str">
        <f>+Raw_data!A103</f>
        <v>04D1</v>
      </c>
      <c r="E8" s="441" t="str">
        <f>+Raw_data!A148</f>
        <v>04D1</v>
      </c>
      <c r="F8" s="440" t="str">
        <f>+Raw_data!A193</f>
        <v>04D1</v>
      </c>
      <c r="G8" s="440" t="str">
        <f>+Raw_data!A238</f>
        <v>04D1</v>
      </c>
      <c r="H8" s="440" t="str">
        <f>+Raw_data!A283</f>
        <v>04D1</v>
      </c>
      <c r="I8" s="440" t="str">
        <f>+Raw_data!A328</f>
        <v>04D1</v>
      </c>
      <c r="J8" s="440" t="str">
        <f>+Raw_data!A373</f>
        <v>04D1</v>
      </c>
      <c r="K8" s="440" t="str">
        <f>+Raw_data!A418</f>
        <v>04D1</v>
      </c>
      <c r="O8" s="1102"/>
      <c r="P8" s="1102"/>
      <c r="Q8" s="1102"/>
    </row>
    <row r="9" spans="1:17">
      <c r="A9" s="1092"/>
      <c r="B9" s="440" t="str">
        <f>+Raw_data!A14</f>
        <v>24BF</v>
      </c>
      <c r="C9" s="440" t="str">
        <f>+Raw_data!A59</f>
        <v>04D1</v>
      </c>
      <c r="D9" s="440" t="str">
        <f>+Raw_data!A104</f>
        <v>24C4</v>
      </c>
      <c r="E9" s="441" t="str">
        <f>+Raw_data!A149</f>
        <v>04D1</v>
      </c>
      <c r="F9" s="440" t="str">
        <f>+Raw_data!A194</f>
        <v>04D1</v>
      </c>
      <c r="G9" s="440" t="str">
        <f>+Raw_data!A239</f>
        <v>04D1</v>
      </c>
      <c r="H9" s="440" t="str">
        <f>+Raw_data!A284</f>
        <v>04D1</v>
      </c>
      <c r="I9" s="440" t="str">
        <f>+Raw_data!A329</f>
        <v>04D1</v>
      </c>
      <c r="J9" s="440" t="str">
        <f>+Raw_data!A374</f>
        <v>04D1</v>
      </c>
      <c r="K9" s="440" t="str">
        <f>+Raw_data!A419</f>
        <v>04D1</v>
      </c>
      <c r="O9" s="587">
        <f>+$J$2</f>
        <v>6.3E-2</v>
      </c>
      <c r="P9" s="587">
        <f>+$J$3</f>
        <v>-6.3E-2</v>
      </c>
      <c r="Q9" s="589">
        <f>+B79</f>
        <v>300</v>
      </c>
    </row>
    <row r="10" spans="1:17">
      <c r="A10" s="1092"/>
      <c r="B10" s="440" t="str">
        <f>+Raw_data!A15</f>
        <v>24BF</v>
      </c>
      <c r="C10" s="440" t="str">
        <f>+Raw_data!A60</f>
        <v>04D1</v>
      </c>
      <c r="D10" s="440" t="str">
        <f>+Raw_data!A105</f>
        <v>24C4</v>
      </c>
      <c r="E10" s="441" t="str">
        <f>+Raw_data!A150</f>
        <v>04D1</v>
      </c>
      <c r="F10" s="440" t="str">
        <f>+Raw_data!A195</f>
        <v>04D1</v>
      </c>
      <c r="G10" s="440" t="str">
        <f>+Raw_data!A240</f>
        <v>04D1</v>
      </c>
      <c r="H10" s="440" t="str">
        <f>+Raw_data!A285</f>
        <v>04D1</v>
      </c>
      <c r="I10" s="440" t="str">
        <f>+Raw_data!A330</f>
        <v>04D1</v>
      </c>
      <c r="J10" s="440" t="str">
        <f>+Raw_data!A375</f>
        <v>04D1</v>
      </c>
      <c r="K10" s="440" t="str">
        <f>+Raw_data!A420</f>
        <v>04D1</v>
      </c>
      <c r="O10" s="587">
        <f>+$J$2</f>
        <v>6.3E-2</v>
      </c>
      <c r="P10" s="587">
        <f>+$J$3</f>
        <v>-6.3E-2</v>
      </c>
      <c r="Q10" s="589">
        <f>+B79*2</f>
        <v>600</v>
      </c>
    </row>
    <row r="11" spans="1:17">
      <c r="A11" s="1092"/>
      <c r="B11" s="440" t="str">
        <f>+Raw_data!A16</f>
        <v>24BF</v>
      </c>
      <c r="C11" s="440" t="str">
        <f>+Raw_data!A61</f>
        <v>04D1</v>
      </c>
      <c r="D11" s="440" t="str">
        <f>+Raw_data!A106</f>
        <v>24C4</v>
      </c>
      <c r="E11" s="441" t="str">
        <f>+Raw_data!A151</f>
        <v>04D1</v>
      </c>
      <c r="F11" s="440" t="str">
        <f>+Raw_data!A196</f>
        <v>04D1</v>
      </c>
      <c r="G11" s="440" t="str">
        <f>+Raw_data!A241</f>
        <v>04D1</v>
      </c>
      <c r="H11" s="440" t="str">
        <f>+Raw_data!A286</f>
        <v>04D1</v>
      </c>
      <c r="I11" s="440" t="str">
        <f>+Raw_data!A331</f>
        <v>04D1</v>
      </c>
      <c r="J11" s="440" t="str">
        <f>+Raw_data!A376</f>
        <v>04D1</v>
      </c>
      <c r="K11" s="440" t="str">
        <f>+Raw_data!A421</f>
        <v>04D1</v>
      </c>
    </row>
    <row r="12" spans="1:17">
      <c r="A12" s="1092"/>
      <c r="B12" s="440" t="str">
        <f>+Raw_data!A17</f>
        <v>24BF</v>
      </c>
      <c r="C12" s="440">
        <f>+Raw_data!A62</f>
        <v>2486</v>
      </c>
      <c r="D12" s="440" t="str">
        <f>+Raw_data!A107</f>
        <v>24C4</v>
      </c>
      <c r="E12" s="441">
        <f>+Raw_data!A152</f>
        <v>2485</v>
      </c>
      <c r="F12" s="440">
        <f>+Raw_data!A197</f>
        <v>484</v>
      </c>
      <c r="G12" s="440">
        <f>+Raw_data!A242</f>
        <v>2485</v>
      </c>
      <c r="H12" s="440">
        <f>+Raw_data!A287</f>
        <v>484</v>
      </c>
      <c r="I12" s="440">
        <f>+Raw_data!A332</f>
        <v>484</v>
      </c>
      <c r="J12" s="440" t="str">
        <f>+Raw_data!A377</f>
        <v>04D1</v>
      </c>
      <c r="K12" s="440" t="str">
        <f>+Raw_data!A422</f>
        <v>04D1</v>
      </c>
    </row>
    <row r="13" spans="1:17">
      <c r="A13" s="1092"/>
      <c r="B13" s="440">
        <f>+Raw_data!A18</f>
        <v>471</v>
      </c>
      <c r="C13" s="440">
        <f>+Raw_data!A63</f>
        <v>2486</v>
      </c>
      <c r="D13" s="440">
        <f>+Raw_data!A108</f>
        <v>2475</v>
      </c>
      <c r="E13" s="441">
        <f>+Raw_data!A153</f>
        <v>2485</v>
      </c>
      <c r="F13" s="440">
        <f>+Raw_data!A198</f>
        <v>484</v>
      </c>
      <c r="G13" s="440">
        <f>+Raw_data!A243</f>
        <v>2485</v>
      </c>
      <c r="H13" s="440">
        <f>+Raw_data!A288</f>
        <v>484</v>
      </c>
      <c r="I13" s="440">
        <f>+Raw_data!A333</f>
        <v>484</v>
      </c>
      <c r="J13" s="440">
        <f>+Raw_data!A378</f>
        <v>482</v>
      </c>
      <c r="K13" s="440">
        <f>+Raw_data!A423</f>
        <v>2483</v>
      </c>
      <c r="L13" s="438"/>
    </row>
    <row r="14" spans="1:17">
      <c r="A14" s="1092"/>
      <c r="B14" s="440">
        <f>+Raw_data!A19</f>
        <v>471</v>
      </c>
      <c r="C14" s="440">
        <f>+Raw_data!A64</f>
        <v>2486</v>
      </c>
      <c r="D14" s="440">
        <f>+Raw_data!A109</f>
        <v>2475</v>
      </c>
      <c r="E14" s="441">
        <f>+Raw_data!A154</f>
        <v>2485</v>
      </c>
      <c r="F14" s="440">
        <f>+Raw_data!A199</f>
        <v>484</v>
      </c>
      <c r="G14" s="440">
        <f>+Raw_data!A244</f>
        <v>2485</v>
      </c>
      <c r="H14" s="440">
        <f>+Raw_data!A289</f>
        <v>484</v>
      </c>
      <c r="I14" s="440">
        <f>+Raw_data!A334</f>
        <v>484</v>
      </c>
      <c r="J14" s="440">
        <f>+Raw_data!A379</f>
        <v>482</v>
      </c>
      <c r="K14" s="440">
        <f>+Raw_data!A424</f>
        <v>2483</v>
      </c>
    </row>
    <row r="15" spans="1:17">
      <c r="A15" s="1092"/>
      <c r="B15" s="440">
        <f>+Raw_data!A20</f>
        <v>471</v>
      </c>
      <c r="C15" s="440">
        <f>+Raw_data!A65</f>
        <v>2486</v>
      </c>
      <c r="D15" s="440">
        <f>+Raw_data!A110</f>
        <v>2475</v>
      </c>
      <c r="E15" s="441">
        <f>+Raw_data!A155</f>
        <v>2485</v>
      </c>
      <c r="F15" s="440">
        <f>+Raw_data!A200</f>
        <v>484</v>
      </c>
      <c r="G15" s="440">
        <f>+Raw_data!A245</f>
        <v>2485</v>
      </c>
      <c r="H15" s="440">
        <f>+Raw_data!A290</f>
        <v>484</v>
      </c>
      <c r="I15" s="440">
        <f>+Raw_data!A335</f>
        <v>484</v>
      </c>
      <c r="J15" s="440">
        <f>+Raw_data!A380</f>
        <v>482</v>
      </c>
      <c r="K15" s="440">
        <f>+Raw_data!A425</f>
        <v>2483</v>
      </c>
    </row>
    <row r="16" spans="1:17">
      <c r="A16" s="1092"/>
      <c r="B16" s="440">
        <f>+Raw_data!A21</f>
        <v>471</v>
      </c>
      <c r="C16" s="440">
        <f>+Raw_data!A66</f>
        <v>436</v>
      </c>
      <c r="D16" s="440">
        <f>+Raw_data!A111</f>
        <v>2475</v>
      </c>
      <c r="E16" s="441">
        <f>+Raw_data!A156</f>
        <v>436</v>
      </c>
      <c r="F16" s="440">
        <f>+Raw_data!A201</f>
        <v>435</v>
      </c>
      <c r="G16" s="440">
        <f>+Raw_data!A246</f>
        <v>436</v>
      </c>
      <c r="H16" s="440">
        <f>+Raw_data!A291</f>
        <v>2434</v>
      </c>
      <c r="I16" s="440">
        <f>+Raw_data!A336</f>
        <v>435</v>
      </c>
      <c r="J16" s="440">
        <f>+Raw_data!A381</f>
        <v>482</v>
      </c>
      <c r="K16" s="440">
        <f>+Raw_data!A426</f>
        <v>433</v>
      </c>
    </row>
    <row r="17" spans="1:11">
      <c r="A17" s="1092"/>
      <c r="B17" s="440">
        <f>+Raw_data!A22</f>
        <v>433</v>
      </c>
      <c r="C17" s="440">
        <f>+Raw_data!A67</f>
        <v>436</v>
      </c>
      <c r="D17" s="440">
        <f>+Raw_data!A112</f>
        <v>433</v>
      </c>
      <c r="E17" s="441">
        <f>+Raw_data!A157</f>
        <v>436</v>
      </c>
      <c r="F17" s="440">
        <f>+Raw_data!A202</f>
        <v>435</v>
      </c>
      <c r="G17" s="440">
        <f>+Raw_data!A247</f>
        <v>436</v>
      </c>
      <c r="H17" s="440">
        <f>+Raw_data!A292</f>
        <v>2434</v>
      </c>
      <c r="I17" s="440">
        <f>+Raw_data!A337</f>
        <v>435</v>
      </c>
      <c r="J17" s="440">
        <f>+Raw_data!A382</f>
        <v>433</v>
      </c>
      <c r="K17" s="440">
        <f>+Raw_data!A427</f>
        <v>433</v>
      </c>
    </row>
    <row r="18" spans="1:11">
      <c r="A18" s="1092"/>
      <c r="B18" s="440">
        <f>+Raw_data!A23</f>
        <v>433</v>
      </c>
      <c r="C18" s="440">
        <f>+Raw_data!A68</f>
        <v>436</v>
      </c>
      <c r="D18" s="440">
        <f>+Raw_data!A113</f>
        <v>433</v>
      </c>
      <c r="E18" s="441">
        <f>+Raw_data!A158</f>
        <v>436</v>
      </c>
      <c r="F18" s="440">
        <f>+Raw_data!A203</f>
        <v>435</v>
      </c>
      <c r="G18" s="440">
        <f>+Raw_data!A248</f>
        <v>436</v>
      </c>
      <c r="H18" s="440">
        <f>+Raw_data!A293</f>
        <v>2434</v>
      </c>
      <c r="I18" s="440">
        <f>+Raw_data!A338</f>
        <v>435</v>
      </c>
      <c r="J18" s="440">
        <f>+Raw_data!A383</f>
        <v>433</v>
      </c>
      <c r="K18" s="440">
        <f>+Raw_data!A428</f>
        <v>433</v>
      </c>
    </row>
    <row r="19" spans="1:11">
      <c r="A19" s="1092"/>
      <c r="B19" s="440">
        <f>+Raw_data!A24</f>
        <v>433</v>
      </c>
      <c r="C19" s="440">
        <f>+Raw_data!A69</f>
        <v>2432</v>
      </c>
      <c r="D19" s="440">
        <f>+Raw_data!A114</f>
        <v>433</v>
      </c>
      <c r="E19" s="441">
        <f>+Raw_data!A159</f>
        <v>2432</v>
      </c>
      <c r="F19" s="440">
        <f>+Raw_data!A204</f>
        <v>435</v>
      </c>
      <c r="G19" s="440">
        <f>+Raw_data!A249</f>
        <v>2432</v>
      </c>
      <c r="H19" s="440">
        <f>+Raw_data!A294</f>
        <v>2434</v>
      </c>
      <c r="I19" s="440">
        <f>+Raw_data!A339</f>
        <v>435</v>
      </c>
      <c r="J19" s="440">
        <f>+Raw_data!A384</f>
        <v>433</v>
      </c>
      <c r="K19" s="440">
        <f>+Raw_data!A429</f>
        <v>433</v>
      </c>
    </row>
    <row r="20" spans="1:11">
      <c r="A20" s="1092"/>
      <c r="B20" s="440">
        <f>+Raw_data!A25</f>
        <v>433</v>
      </c>
      <c r="C20" s="440">
        <f>+Raw_data!A70</f>
        <v>2432</v>
      </c>
      <c r="D20" s="440">
        <f>+Raw_data!A115</f>
        <v>433</v>
      </c>
      <c r="E20" s="441">
        <f>+Raw_data!A160</f>
        <v>2432</v>
      </c>
      <c r="F20" s="440">
        <f>+Raw_data!A205</f>
        <v>2432</v>
      </c>
      <c r="G20" s="440">
        <f>+Raw_data!A250</f>
        <v>2432</v>
      </c>
      <c r="H20" s="440">
        <f>+Raw_data!A295</f>
        <v>2432</v>
      </c>
      <c r="I20" s="440">
        <f>+Raw_data!A340</f>
        <v>2432</v>
      </c>
      <c r="J20" s="440">
        <f>+Raw_data!A385</f>
        <v>2432</v>
      </c>
      <c r="K20" s="440">
        <f>+Raw_data!A430</f>
        <v>2432</v>
      </c>
    </row>
    <row r="21" spans="1:11">
      <c r="A21" s="1092"/>
      <c r="B21" s="440">
        <f>+Raw_data!A26</f>
        <v>2432</v>
      </c>
      <c r="C21" s="440">
        <f>+Raw_data!A71</f>
        <v>2432</v>
      </c>
      <c r="D21" s="440">
        <f>+Raw_data!A116</f>
        <v>2432</v>
      </c>
      <c r="E21" s="441">
        <f>+Raw_data!A161</f>
        <v>2432</v>
      </c>
      <c r="F21" s="440">
        <f>+Raw_data!A206</f>
        <v>2432</v>
      </c>
      <c r="G21" s="440">
        <f>+Raw_data!A251</f>
        <v>2432</v>
      </c>
      <c r="H21" s="440">
        <f>+Raw_data!A296</f>
        <v>2432</v>
      </c>
      <c r="I21" s="440">
        <f>+Raw_data!A341</f>
        <v>2432</v>
      </c>
      <c r="J21" s="440">
        <f>+Raw_data!A386</f>
        <v>2432</v>
      </c>
      <c r="K21" s="440">
        <f>+Raw_data!A431</f>
        <v>2432</v>
      </c>
    </row>
    <row r="22" spans="1:11">
      <c r="A22" s="1092"/>
      <c r="B22" s="440">
        <f>+Raw_data!A27</f>
        <v>2432</v>
      </c>
      <c r="C22" s="440">
        <f>+Raw_data!A72</f>
        <v>2432</v>
      </c>
      <c r="D22" s="440">
        <f>+Raw_data!A117</f>
        <v>2432</v>
      </c>
      <c r="E22" s="441">
        <f>+Raw_data!A162</f>
        <v>2432</v>
      </c>
      <c r="F22" s="440">
        <f>+Raw_data!A207</f>
        <v>2432</v>
      </c>
      <c r="G22" s="440">
        <f>+Raw_data!A252</f>
        <v>2432</v>
      </c>
      <c r="H22" s="440">
        <f>+Raw_data!A297</f>
        <v>2432</v>
      </c>
      <c r="I22" s="440">
        <f>+Raw_data!A342</f>
        <v>2432</v>
      </c>
      <c r="J22" s="440">
        <f>+Raw_data!A387</f>
        <v>2432</v>
      </c>
      <c r="K22" s="440">
        <f>+Raw_data!A432</f>
        <v>2432</v>
      </c>
    </row>
    <row r="23" spans="1:11">
      <c r="A23" s="436" t="s">
        <v>348</v>
      </c>
      <c r="B23" s="438">
        <f>+Raw_data!A28</f>
        <v>0</v>
      </c>
      <c r="C23" s="438">
        <f>+Raw_data!A73</f>
        <v>0</v>
      </c>
      <c r="D23" s="438">
        <f>+Raw_data!A118</f>
        <v>0</v>
      </c>
      <c r="E23" s="439">
        <f>+Raw_data!A163</f>
        <v>0</v>
      </c>
      <c r="F23" s="438">
        <f>+Raw_data!A208</f>
        <v>0</v>
      </c>
      <c r="G23" s="438">
        <f>+Raw_data!A253</f>
        <v>0</v>
      </c>
      <c r="H23" s="438">
        <f>+Raw_data!A298</f>
        <v>0</v>
      </c>
      <c r="I23" s="438">
        <f>+Raw_data!A343</f>
        <v>0</v>
      </c>
      <c r="J23" s="438">
        <f>+Raw_data!A388</f>
        <v>0</v>
      </c>
      <c r="K23" s="438">
        <f>+Raw_data!A433</f>
        <v>0</v>
      </c>
    </row>
    <row r="24" spans="1:11" ht="13.15" customHeight="1">
      <c r="A24" s="1092" t="s">
        <v>350</v>
      </c>
      <c r="B24" s="584">
        <f>+Raw_data!A34</f>
        <v>2432</v>
      </c>
      <c r="C24" s="584">
        <f>+Raw_data!A79</f>
        <v>2432</v>
      </c>
      <c r="D24" s="584">
        <f>+Raw_data!A124</f>
        <v>2432</v>
      </c>
      <c r="E24" s="584">
        <f>+Raw_data!A169</f>
        <v>2432</v>
      </c>
      <c r="F24" s="584">
        <f>+Raw_data!A214</f>
        <v>2432</v>
      </c>
      <c r="G24" s="584">
        <f>+Raw_data!A259</f>
        <v>2432</v>
      </c>
      <c r="H24" s="584">
        <f>+Raw_data!A304</f>
        <v>2432</v>
      </c>
      <c r="I24" s="584">
        <f>+Raw_data!A349</f>
        <v>2432</v>
      </c>
      <c r="J24" s="584">
        <f>+Raw_data!A394</f>
        <v>2432</v>
      </c>
      <c r="K24" s="584">
        <f>+Raw_data!A439</f>
        <v>2432</v>
      </c>
    </row>
    <row r="25" spans="1:11">
      <c r="A25" s="1092"/>
      <c r="B25" s="584">
        <f>+Raw_data!A35</f>
        <v>2432</v>
      </c>
      <c r="C25" s="584">
        <f>+Raw_data!A80</f>
        <v>2432</v>
      </c>
      <c r="D25" s="584">
        <f>+Raw_data!A125</f>
        <v>2432</v>
      </c>
      <c r="E25" s="584">
        <f>+Raw_data!A170</f>
        <v>2432</v>
      </c>
      <c r="F25" s="584">
        <f>+Raw_data!A215</f>
        <v>2432</v>
      </c>
      <c r="G25" s="584">
        <f>+Raw_data!A260</f>
        <v>2432</v>
      </c>
      <c r="H25" s="584">
        <f>+Raw_data!A305</f>
        <v>2432</v>
      </c>
      <c r="I25" s="584">
        <f>+Raw_data!A350</f>
        <v>2432</v>
      </c>
      <c r="J25" s="584">
        <f>+Raw_data!A395</f>
        <v>2432</v>
      </c>
      <c r="K25" s="584">
        <f>+Raw_data!A440</f>
        <v>2432</v>
      </c>
    </row>
    <row r="26" spans="1:11">
      <c r="A26" s="1092"/>
      <c r="B26" s="584">
        <f>+Raw_data!A36</f>
        <v>2432</v>
      </c>
      <c r="C26" s="584">
        <f>+Raw_data!A81</f>
        <v>2438</v>
      </c>
      <c r="D26" s="584">
        <f>+Raw_data!A126</f>
        <v>2432</v>
      </c>
      <c r="E26" s="584">
        <f>+Raw_data!A171</f>
        <v>2432</v>
      </c>
      <c r="F26" s="584">
        <f>+Raw_data!A216</f>
        <v>2432</v>
      </c>
      <c r="G26" s="584">
        <f>+Raw_data!A261</f>
        <v>2440</v>
      </c>
      <c r="H26" s="584">
        <f>+Raw_data!A306</f>
        <v>2432</v>
      </c>
      <c r="I26" s="584">
        <f>+Raw_data!A351</f>
        <v>2432</v>
      </c>
      <c r="J26" s="584">
        <f>+Raw_data!A396</f>
        <v>2432</v>
      </c>
      <c r="K26" s="584">
        <f>+Raw_data!A441</f>
        <v>2432</v>
      </c>
    </row>
    <row r="27" spans="1:11">
      <c r="A27" s="1092"/>
      <c r="B27" s="584">
        <f>+Raw_data!A37</f>
        <v>2432</v>
      </c>
      <c r="C27" s="584">
        <f>+Raw_data!A82</f>
        <v>2438</v>
      </c>
      <c r="D27" s="584">
        <f>+Raw_data!A127</f>
        <v>2432</v>
      </c>
      <c r="E27" s="584">
        <f>+Raw_data!A172</f>
        <v>2432</v>
      </c>
      <c r="F27" s="584">
        <f>+Raw_data!A217</f>
        <v>2432</v>
      </c>
      <c r="G27" s="584">
        <f>+Raw_data!A262</f>
        <v>2440</v>
      </c>
      <c r="H27" s="584">
        <f>+Raw_data!A307</f>
        <v>2432</v>
      </c>
      <c r="I27" s="584">
        <f>+Raw_data!A352</f>
        <v>2432</v>
      </c>
      <c r="J27" s="584">
        <f>+Raw_data!A397</f>
        <v>2432</v>
      </c>
      <c r="K27" s="584">
        <f>+Raw_data!A442</f>
        <v>2432</v>
      </c>
    </row>
    <row r="28" spans="1:11">
      <c r="A28" s="1092"/>
      <c r="B28" s="584">
        <f>+Raw_data!A38</f>
        <v>2432</v>
      </c>
      <c r="C28" s="584">
        <f>+Raw_data!A83</f>
        <v>2438</v>
      </c>
      <c r="D28" s="584">
        <f>+Raw_data!A128</f>
        <v>2432</v>
      </c>
      <c r="E28" s="584">
        <f>+Raw_data!A173</f>
        <v>2432</v>
      </c>
      <c r="F28" s="584">
        <f>+Raw_data!A218</f>
        <v>2432</v>
      </c>
      <c r="G28" s="584">
        <f>+Raw_data!A263</f>
        <v>2440</v>
      </c>
      <c r="H28" s="584">
        <f>+Raw_data!A308</f>
        <v>2432</v>
      </c>
      <c r="I28" s="584">
        <f>+Raw_data!A353</f>
        <v>2432</v>
      </c>
      <c r="J28" s="584">
        <f>+Raw_data!A398</f>
        <v>2432</v>
      </c>
      <c r="K28" s="584">
        <f>+Raw_data!A443</f>
        <v>2432</v>
      </c>
    </row>
    <row r="29" spans="1:11">
      <c r="A29" s="1092"/>
      <c r="B29" s="584" t="str">
        <f>+Raw_data!A39</f>
        <v>247F</v>
      </c>
      <c r="C29" s="584">
        <f>+Raw_data!A84</f>
        <v>2438</v>
      </c>
      <c r="D29" s="584" t="str">
        <f>+Raw_data!A129</f>
        <v>247F</v>
      </c>
      <c r="E29" s="584">
        <f>+Raw_data!A174</f>
        <v>2432</v>
      </c>
      <c r="F29" s="584" t="str">
        <f>+Raw_data!A219</f>
        <v>247F</v>
      </c>
      <c r="G29" s="584">
        <f>+Raw_data!A264</f>
        <v>2440</v>
      </c>
      <c r="H29" s="584" t="str">
        <f>+Raw_data!A309</f>
        <v>047E</v>
      </c>
      <c r="I29" s="584" t="str">
        <f>+Raw_data!A354</f>
        <v>047E</v>
      </c>
      <c r="J29" s="584" t="str">
        <f>+Raw_data!A399</f>
        <v>247F</v>
      </c>
      <c r="K29" s="584" t="str">
        <f>+Raw_data!A444</f>
        <v>047E</v>
      </c>
    </row>
    <row r="30" spans="1:11">
      <c r="A30" s="1092"/>
      <c r="B30" s="584" t="str">
        <f>+Raw_data!A40</f>
        <v>247F</v>
      </c>
      <c r="C30" s="584">
        <f>+Raw_data!A85</f>
        <v>2486</v>
      </c>
      <c r="D30" s="584" t="str">
        <f>+Raw_data!A130</f>
        <v>247F</v>
      </c>
      <c r="E30" s="584">
        <f>+Raw_data!A175</f>
        <v>2480</v>
      </c>
      <c r="F30" s="584" t="str">
        <f>+Raw_data!A220</f>
        <v>247F</v>
      </c>
      <c r="G30" s="584" t="str">
        <f>+Raw_data!A265</f>
        <v>248F</v>
      </c>
      <c r="H30" s="584" t="str">
        <f>+Raw_data!A310</f>
        <v>047E</v>
      </c>
      <c r="I30" s="584" t="str">
        <f>+Raw_data!A355</f>
        <v>047E</v>
      </c>
      <c r="J30" s="584" t="str">
        <f>+Raw_data!A400</f>
        <v>247F</v>
      </c>
      <c r="K30" s="584" t="str">
        <f>+Raw_data!A445</f>
        <v>047E</v>
      </c>
    </row>
    <row r="31" spans="1:11">
      <c r="A31" s="1092"/>
      <c r="B31" s="584" t="str">
        <f>+Raw_data!A41</f>
        <v>247F</v>
      </c>
      <c r="C31" s="584">
        <f>+Raw_data!A86</f>
        <v>2486</v>
      </c>
      <c r="D31" s="584" t="str">
        <f>+Raw_data!A131</f>
        <v>247F</v>
      </c>
      <c r="E31" s="584">
        <f>+Raw_data!A176</f>
        <v>2480</v>
      </c>
      <c r="F31" s="584" t="str">
        <f>+Raw_data!A221</f>
        <v>247F</v>
      </c>
      <c r="G31" s="584" t="str">
        <f>+Raw_data!A266</f>
        <v>248F</v>
      </c>
      <c r="H31" s="584" t="str">
        <f>+Raw_data!A311</f>
        <v>047E</v>
      </c>
      <c r="I31" s="584" t="str">
        <f>+Raw_data!A356</f>
        <v>047E</v>
      </c>
      <c r="J31" s="584" t="str">
        <f>+Raw_data!A401</f>
        <v>247F</v>
      </c>
      <c r="K31" s="584" t="str">
        <f>+Raw_data!A446</f>
        <v>047E</v>
      </c>
    </row>
    <row r="32" spans="1:11">
      <c r="A32" s="1092"/>
      <c r="B32" s="584" t="str">
        <f>+Raw_data!A42</f>
        <v>247F</v>
      </c>
      <c r="C32" s="584">
        <f>+Raw_data!A87</f>
        <v>2486</v>
      </c>
      <c r="D32" s="584" t="str">
        <f>+Raw_data!A132</f>
        <v>247F</v>
      </c>
      <c r="E32" s="584">
        <f>+Raw_data!A177</f>
        <v>2480</v>
      </c>
      <c r="F32" s="584" t="str">
        <f>+Raw_data!A222</f>
        <v>247F</v>
      </c>
      <c r="G32" s="584" t="str">
        <f>+Raw_data!A267</f>
        <v>248F</v>
      </c>
      <c r="H32" s="584" t="str">
        <f>+Raw_data!A312</f>
        <v>047E</v>
      </c>
      <c r="I32" s="584" t="str">
        <f>+Raw_data!A357</f>
        <v>047E</v>
      </c>
      <c r="J32" s="584" t="str">
        <f>+Raw_data!A402</f>
        <v>247F</v>
      </c>
      <c r="K32" s="584" t="str">
        <f>+Raw_data!A447</f>
        <v>047E</v>
      </c>
    </row>
    <row r="33" spans="1:20">
      <c r="A33" s="1092"/>
      <c r="B33" s="584" t="str">
        <f>+Raw_data!A43</f>
        <v>24CE</v>
      </c>
      <c r="C33" s="584">
        <f>+Raw_data!A88</f>
        <v>2486</v>
      </c>
      <c r="D33" s="584" t="str">
        <f>+Raw_data!A133</f>
        <v>24CE</v>
      </c>
      <c r="E33" s="584" t="str">
        <f>+Raw_data!A178</f>
        <v>04CF</v>
      </c>
      <c r="F33" s="584" t="str">
        <f>+Raw_data!A223</f>
        <v>24CE</v>
      </c>
      <c r="G33" s="584" t="str">
        <f>+Raw_data!A268</f>
        <v>248F</v>
      </c>
      <c r="H33" s="584" t="str">
        <f>+Raw_data!A313</f>
        <v>24CD</v>
      </c>
      <c r="I33" s="584" t="str">
        <f>+Raw_data!A358</f>
        <v>24CD</v>
      </c>
      <c r="J33" s="584" t="str">
        <f>+Raw_data!A403</f>
        <v>24CE</v>
      </c>
      <c r="K33" s="584" t="str">
        <f>+Raw_data!A448</f>
        <v>24CD</v>
      </c>
    </row>
    <row r="34" spans="1:20">
      <c r="A34" s="1092"/>
      <c r="B34" s="584" t="str">
        <f>+Raw_data!A44</f>
        <v>24CE</v>
      </c>
      <c r="C34" s="584" t="str">
        <f>+Raw_data!A89</f>
        <v>04CF</v>
      </c>
      <c r="D34" s="584" t="str">
        <f>+Raw_data!A134</f>
        <v>24CE</v>
      </c>
      <c r="E34" s="584" t="str">
        <f>+Raw_data!A179</f>
        <v>04CF</v>
      </c>
      <c r="F34" s="584" t="str">
        <f>+Raw_data!A224</f>
        <v>24CE</v>
      </c>
      <c r="G34" s="584" t="str">
        <f>+Raw_data!A269</f>
        <v>04CF</v>
      </c>
      <c r="H34" s="584" t="str">
        <f>+Raw_data!A314</f>
        <v>24CD</v>
      </c>
      <c r="I34" s="584" t="str">
        <f>+Raw_data!A359</f>
        <v>24CD</v>
      </c>
      <c r="J34" s="584" t="str">
        <f>+Raw_data!A404</f>
        <v>24CE</v>
      </c>
      <c r="K34" s="584" t="str">
        <f>+Raw_data!A449</f>
        <v>24CD</v>
      </c>
    </row>
    <row r="35" spans="1:20">
      <c r="A35" s="1092"/>
      <c r="B35" s="584" t="str">
        <f>+Raw_data!A45</f>
        <v>24CE</v>
      </c>
      <c r="C35" s="584" t="str">
        <f>+Raw_data!A90</f>
        <v>04CF</v>
      </c>
      <c r="D35" s="584" t="str">
        <f>+Raw_data!A135</f>
        <v>24CE</v>
      </c>
      <c r="E35" s="584" t="str">
        <f>+Raw_data!A180</f>
        <v>04CF</v>
      </c>
      <c r="F35" s="584" t="str">
        <f>+Raw_data!A225</f>
        <v>24CE</v>
      </c>
      <c r="G35" s="584" t="str">
        <f>+Raw_data!A270</f>
        <v>04CF</v>
      </c>
      <c r="H35" s="584" t="str">
        <f>+Raw_data!A315</f>
        <v>24CD</v>
      </c>
      <c r="I35" s="584" t="str">
        <f>+Raw_data!A360</f>
        <v>24CD</v>
      </c>
      <c r="J35" s="584" t="str">
        <f>+Raw_data!A405</f>
        <v>24CE</v>
      </c>
      <c r="K35" s="584" t="str">
        <f>+Raw_data!A450</f>
        <v>24CD</v>
      </c>
    </row>
    <row r="36" spans="1:20">
      <c r="A36" s="1092"/>
      <c r="B36" s="584" t="str">
        <f>+Raw_data!A46</f>
        <v>24CE</v>
      </c>
      <c r="C36" s="584" t="str">
        <f>+Raw_data!A91</f>
        <v>04CF</v>
      </c>
      <c r="D36" s="584" t="str">
        <f>+Raw_data!A136</f>
        <v>24CE</v>
      </c>
      <c r="E36" s="584" t="str">
        <f>+Raw_data!A181</f>
        <v>04CF</v>
      </c>
      <c r="F36" s="584" t="str">
        <f>+Raw_data!A226</f>
        <v>24CE</v>
      </c>
      <c r="G36" s="584" t="str">
        <f>+Raw_data!A271</f>
        <v>04CF</v>
      </c>
      <c r="H36" s="584" t="str">
        <f>+Raw_data!A316</f>
        <v>24CD</v>
      </c>
      <c r="I36" s="584" t="str">
        <f>+Raw_data!A361</f>
        <v>04D1</v>
      </c>
      <c r="J36" s="584" t="str">
        <f>+Raw_data!A406</f>
        <v>24CE</v>
      </c>
      <c r="K36" s="584" t="str">
        <f>+Raw_data!A451</f>
        <v>24D0</v>
      </c>
    </row>
    <row r="37" spans="1:20">
      <c r="A37" s="1092"/>
      <c r="B37" s="584" t="str">
        <f>+Raw_data!A47</f>
        <v>24D0</v>
      </c>
      <c r="C37" s="584" t="str">
        <f>+Raw_data!A92</f>
        <v>24D0</v>
      </c>
      <c r="D37" s="584" t="str">
        <f>+Raw_data!A137</f>
        <v>04D1</v>
      </c>
      <c r="E37" s="584" t="str">
        <f>+Raw_data!A182</f>
        <v>24D0</v>
      </c>
      <c r="F37" s="584" t="str">
        <f>+Raw_data!A227</f>
        <v>04D1</v>
      </c>
      <c r="G37" s="584" t="str">
        <f>+Raw_data!A272</f>
        <v>04D1</v>
      </c>
      <c r="H37" s="584" t="str">
        <f>+Raw_data!A317</f>
        <v>24D0</v>
      </c>
      <c r="I37" s="584" t="str">
        <f>+Raw_data!A362</f>
        <v>04D1</v>
      </c>
      <c r="J37" s="584" t="str">
        <f>+Raw_data!A407</f>
        <v>24D0</v>
      </c>
      <c r="K37" s="584" t="str">
        <f>+Raw_data!A452</f>
        <v>24D0</v>
      </c>
    </row>
    <row r="38" spans="1:20">
      <c r="A38" s="1092"/>
      <c r="B38" s="584" t="str">
        <f>+Raw_data!A48</f>
        <v>24D0</v>
      </c>
      <c r="C38" s="584" t="str">
        <f>+Raw_data!A93</f>
        <v>24D0</v>
      </c>
      <c r="D38" s="584" t="str">
        <f>+Raw_data!A138</f>
        <v>04D1</v>
      </c>
      <c r="E38" s="584" t="str">
        <f>+Raw_data!A183</f>
        <v>24D0</v>
      </c>
      <c r="F38" s="584" t="str">
        <f>+Raw_data!A228</f>
        <v>04D1</v>
      </c>
      <c r="G38" s="584" t="str">
        <f>+Raw_data!A273</f>
        <v>04D1</v>
      </c>
      <c r="H38" s="584" t="str">
        <f>+Raw_data!A318</f>
        <v>24D0</v>
      </c>
      <c r="I38" s="584" t="str">
        <f>+Raw_data!A363</f>
        <v>04D1</v>
      </c>
      <c r="J38" s="584" t="str">
        <f>+Raw_data!A408</f>
        <v>24D0</v>
      </c>
      <c r="K38" s="584" t="str">
        <f>+Raw_data!A453</f>
        <v>24D0</v>
      </c>
    </row>
    <row r="39" spans="1:20">
      <c r="A39" s="1092"/>
      <c r="B39" s="584" t="str">
        <f>+Raw_data!A49</f>
        <v>24D0</v>
      </c>
      <c r="C39" s="584" t="str">
        <f>+Raw_data!A94</f>
        <v>24D0</v>
      </c>
      <c r="D39" s="584" t="str">
        <f>+Raw_data!A139</f>
        <v>04D1</v>
      </c>
      <c r="E39" s="584" t="str">
        <f>+Raw_data!A184</f>
        <v>24D0</v>
      </c>
      <c r="F39" s="584" t="str">
        <f>+Raw_data!A229</f>
        <v>04D1</v>
      </c>
      <c r="G39" s="584" t="str">
        <f>+Raw_data!A274</f>
        <v>04D1</v>
      </c>
      <c r="H39" s="584" t="str">
        <f>+Raw_data!A319</f>
        <v>24D0</v>
      </c>
      <c r="I39" s="584" t="str">
        <f>+Raw_data!A364</f>
        <v>04D1</v>
      </c>
      <c r="J39" s="584" t="str">
        <f>+Raw_data!A409</f>
        <v>24D0</v>
      </c>
      <c r="K39" s="584" t="str">
        <f>+Raw_data!A454</f>
        <v>24D0</v>
      </c>
    </row>
    <row r="40" spans="1:20">
      <c r="C40" s="584"/>
      <c r="D40" s="584"/>
      <c r="E40" s="584"/>
      <c r="F40" s="584"/>
      <c r="G40" s="584"/>
      <c r="H40" s="584"/>
      <c r="I40" s="584"/>
      <c r="J40" s="584"/>
      <c r="K40" s="584"/>
    </row>
    <row r="42" spans="1:20">
      <c r="B42" s="585" t="s">
        <v>351</v>
      </c>
      <c r="C42" s="585" t="s">
        <v>352</v>
      </c>
      <c r="D42" s="585" t="s">
        <v>353</v>
      </c>
      <c r="E42" s="585" t="s">
        <v>354</v>
      </c>
      <c r="F42" s="585" t="s">
        <v>355</v>
      </c>
      <c r="G42" s="585" t="s">
        <v>356</v>
      </c>
      <c r="H42" s="585" t="s">
        <v>357</v>
      </c>
      <c r="I42" s="585" t="s">
        <v>358</v>
      </c>
      <c r="J42" s="585" t="s">
        <v>359</v>
      </c>
      <c r="K42" s="585" t="s">
        <v>360</v>
      </c>
    </row>
    <row r="43" spans="1:20">
      <c r="A43" s="436" t="s">
        <v>361</v>
      </c>
      <c r="B43" s="584">
        <f>+Raw_data!A7</f>
        <v>0</v>
      </c>
      <c r="C43" s="584">
        <f>+Raw_data!A52</f>
        <v>0</v>
      </c>
      <c r="D43" s="584">
        <f>+Raw_data!A97</f>
        <v>0</v>
      </c>
      <c r="E43" s="584">
        <f>+Raw_data!A142</f>
        <v>0</v>
      </c>
      <c r="F43" s="584">
        <f>+Raw_data!A187</f>
        <v>0</v>
      </c>
      <c r="G43" s="584">
        <f>+Raw_data!A232</f>
        <v>0</v>
      </c>
      <c r="H43" s="584">
        <f>+Raw_data!A277</f>
        <v>0</v>
      </c>
      <c r="I43" s="584">
        <f>+Raw_data!A322</f>
        <v>0</v>
      </c>
      <c r="J43" s="584">
        <f>+Raw_data!A367</f>
        <v>0</v>
      </c>
      <c r="K43" s="584">
        <f>+Raw_data!A412</f>
        <v>0</v>
      </c>
      <c r="O43" s="584"/>
      <c r="P43" s="442"/>
      <c r="Q43" s="584"/>
      <c r="R43" s="442"/>
      <c r="S43" s="584"/>
      <c r="T43" s="442"/>
    </row>
    <row r="44" spans="1:20">
      <c r="A44" s="436" t="s">
        <v>362</v>
      </c>
      <c r="B44" s="584">
        <f>+Raw_data!A8</f>
        <v>13.8184</v>
      </c>
      <c r="C44" s="584">
        <f>+Raw_data!A53</f>
        <v>13.817399999999999</v>
      </c>
      <c r="D44" s="584">
        <f>+Raw_data!A98</f>
        <v>13.8195</v>
      </c>
      <c r="E44" s="584">
        <f>+Raw_data!A143</f>
        <v>13.828099999999999</v>
      </c>
      <c r="F44" s="584">
        <f>+Raw_data!A188</f>
        <v>13.825100000000001</v>
      </c>
      <c r="G44" s="584">
        <f>+Raw_data!A233</f>
        <v>13.826000000000001</v>
      </c>
      <c r="H44" s="584">
        <f>+Raw_data!A278</f>
        <v>13.829499999999999</v>
      </c>
      <c r="I44" s="584">
        <f>+Raw_data!A323</f>
        <v>13.8253</v>
      </c>
      <c r="J44" s="584">
        <f>+Raw_data!A368</f>
        <v>13.817600000000001</v>
      </c>
      <c r="K44" s="584">
        <f>+Raw_data!A413</f>
        <v>13.814</v>
      </c>
      <c r="O44" s="584"/>
      <c r="P44" s="442"/>
      <c r="Q44" s="584"/>
      <c r="R44" s="442"/>
      <c r="S44" s="584"/>
      <c r="T44" s="442"/>
    </row>
    <row r="45" spans="1:20">
      <c r="A45" s="436" t="s">
        <v>363</v>
      </c>
      <c r="B45" s="584">
        <f>+Raw_data!A9</f>
        <v>55.727200000000003</v>
      </c>
      <c r="C45" s="584">
        <f>+Raw_data!A54</f>
        <v>55.747900000000001</v>
      </c>
      <c r="D45" s="584">
        <f>+Raw_data!A99</f>
        <v>55.744799999999998</v>
      </c>
      <c r="E45" s="584">
        <f>+Raw_data!A144</f>
        <v>55.770800000000001</v>
      </c>
      <c r="F45" s="584">
        <f>+Raw_data!A189</f>
        <v>55.770899999999997</v>
      </c>
      <c r="G45" s="584">
        <f>+Raw_data!A234</f>
        <v>55.751300000000001</v>
      </c>
      <c r="H45" s="584">
        <f>+Raw_data!A279</f>
        <v>55.756700000000002</v>
      </c>
      <c r="I45" s="584">
        <f>+Raw_data!A324</f>
        <v>55.7547</v>
      </c>
      <c r="J45" s="584">
        <f>+Raw_data!A369</f>
        <v>55.7622</v>
      </c>
      <c r="K45" s="584">
        <f>+Raw_data!A414</f>
        <v>55.745100000000001</v>
      </c>
      <c r="O45" s="584"/>
      <c r="P45" s="442"/>
      <c r="Q45" s="584"/>
      <c r="R45" s="442"/>
      <c r="S45" s="584"/>
      <c r="T45" s="442"/>
    </row>
    <row r="46" spans="1:20">
      <c r="A46" s="436" t="s">
        <v>364</v>
      </c>
      <c r="B46" s="584">
        <f>+Raw_data!A10</f>
        <v>0</v>
      </c>
      <c r="C46" s="584">
        <f>+Raw_data!A55</f>
        <v>0</v>
      </c>
      <c r="D46" s="584">
        <f>+Raw_data!A100</f>
        <v>0</v>
      </c>
      <c r="E46" s="584">
        <f>+Raw_data!A145</f>
        <v>0</v>
      </c>
      <c r="F46" s="584">
        <f>+Raw_data!A190</f>
        <v>0</v>
      </c>
      <c r="G46" s="584">
        <f>+Raw_data!A235</f>
        <v>0</v>
      </c>
      <c r="H46" s="584">
        <f>+Raw_data!A280</f>
        <v>0</v>
      </c>
      <c r="I46" s="584">
        <f>+Raw_data!A325</f>
        <v>0</v>
      </c>
      <c r="J46" s="584">
        <f>+Raw_data!A370</f>
        <v>0</v>
      </c>
      <c r="K46" s="584">
        <f>+Raw_data!A415</f>
        <v>0</v>
      </c>
      <c r="O46" s="584"/>
      <c r="P46" s="442"/>
      <c r="Q46" s="584"/>
      <c r="R46" s="442"/>
      <c r="S46" s="584"/>
      <c r="T46" s="442"/>
    </row>
    <row r="47" spans="1:20">
      <c r="A47" s="436" t="s">
        <v>365</v>
      </c>
      <c r="B47" s="584">
        <f>+Raw_data!A11</f>
        <v>0</v>
      </c>
      <c r="C47" s="584">
        <f>+Raw_data!A56</f>
        <v>0</v>
      </c>
      <c r="D47" s="584">
        <f>+Raw_data!A101</f>
        <v>0</v>
      </c>
      <c r="E47" s="584">
        <f>+Raw_data!A146</f>
        <v>0</v>
      </c>
      <c r="F47" s="584">
        <f>+Raw_data!A191</f>
        <v>0</v>
      </c>
      <c r="G47" s="584">
        <f>+Raw_data!A236</f>
        <v>0</v>
      </c>
      <c r="H47" s="584">
        <f>+Raw_data!A281</f>
        <v>0</v>
      </c>
      <c r="I47" s="584">
        <f>+Raw_data!A326</f>
        <v>0</v>
      </c>
      <c r="J47" s="584">
        <f>+Raw_data!A371</f>
        <v>0</v>
      </c>
      <c r="K47" s="584">
        <f>+Raw_data!A416</f>
        <v>0</v>
      </c>
      <c r="O47" s="584"/>
      <c r="P47" s="442"/>
      <c r="Q47" s="584"/>
      <c r="R47" s="442"/>
      <c r="S47" s="584"/>
      <c r="T47" s="442"/>
    </row>
    <row r="48" spans="1:20">
      <c r="C48" s="584"/>
      <c r="D48" s="584"/>
      <c r="E48" s="584"/>
      <c r="F48" s="584"/>
      <c r="G48" s="584"/>
      <c r="H48" s="584"/>
      <c r="I48" s="584"/>
      <c r="J48" s="584"/>
      <c r="K48" s="584"/>
      <c r="O48" s="584"/>
      <c r="P48" s="442"/>
      <c r="Q48" s="584"/>
      <c r="R48" s="442"/>
      <c r="S48" s="584"/>
      <c r="T48" s="442"/>
    </row>
    <row r="49" spans="1:20">
      <c r="B49" s="585" t="s">
        <v>366</v>
      </c>
      <c r="C49" s="585" t="s">
        <v>367</v>
      </c>
      <c r="D49" s="585" t="s">
        <v>368</v>
      </c>
      <c r="E49" s="585" t="s">
        <v>369</v>
      </c>
      <c r="F49" s="585" t="s">
        <v>370</v>
      </c>
      <c r="G49" s="585" t="s">
        <v>371</v>
      </c>
      <c r="H49" s="585" t="s">
        <v>372</v>
      </c>
      <c r="I49" s="585" t="s">
        <v>373</v>
      </c>
      <c r="J49" s="585" t="s">
        <v>374</v>
      </c>
      <c r="K49" s="585" t="s">
        <v>375</v>
      </c>
      <c r="O49" s="584"/>
      <c r="P49" s="442"/>
      <c r="Q49" s="584"/>
      <c r="R49" s="442"/>
      <c r="S49" s="584"/>
      <c r="T49" s="442"/>
    </row>
    <row r="50" spans="1:20">
      <c r="A50" s="436" t="s">
        <v>361</v>
      </c>
      <c r="B50" s="585">
        <f>+Raw_data!A29</f>
        <v>0</v>
      </c>
      <c r="C50" s="584">
        <f>+Raw_data!A74</f>
        <v>0</v>
      </c>
      <c r="D50" s="584">
        <f>+Raw_data!A119</f>
        <v>0</v>
      </c>
      <c r="E50" s="584">
        <f>+Raw_data!A164</f>
        <v>0</v>
      </c>
      <c r="F50" s="584">
        <f>+Raw_data!A209</f>
        <v>0</v>
      </c>
      <c r="G50" s="584">
        <f>+Raw_data!A254</f>
        <v>0</v>
      </c>
      <c r="H50" s="584">
        <f>+Raw_data!A299</f>
        <v>0</v>
      </c>
      <c r="I50" s="584">
        <f>+Raw_data!A344</f>
        <v>0</v>
      </c>
      <c r="J50" s="584">
        <f>+Raw_data!A389</f>
        <v>0</v>
      </c>
      <c r="K50" s="584">
        <f>+Raw_data!A434</f>
        <v>0</v>
      </c>
      <c r="O50" s="584"/>
      <c r="P50" s="442"/>
      <c r="Q50" s="584"/>
      <c r="R50" s="442"/>
      <c r="S50" s="584"/>
      <c r="T50" s="442"/>
    </row>
    <row r="51" spans="1:20">
      <c r="A51" s="436" t="s">
        <v>362</v>
      </c>
      <c r="B51" s="585">
        <f>+Raw_data!A30</f>
        <v>13.816000000000001</v>
      </c>
      <c r="C51" s="584">
        <f>+Raw_data!A75</f>
        <v>13.823700000000001</v>
      </c>
      <c r="D51" s="584">
        <f>+Raw_data!A120</f>
        <v>13.827299999999999</v>
      </c>
      <c r="E51" s="584">
        <f>+Raw_data!A165</f>
        <v>13.8187</v>
      </c>
      <c r="F51" s="584">
        <f>+Raw_data!A210</f>
        <v>13.8057</v>
      </c>
      <c r="G51" s="584">
        <f>+Raw_data!A255</f>
        <v>13.8261</v>
      </c>
      <c r="H51" s="584">
        <f>+Raw_data!A300</f>
        <v>13.8172</v>
      </c>
      <c r="I51" s="584">
        <f>+Raw_data!A345</f>
        <v>13.813000000000001</v>
      </c>
      <c r="J51" s="584">
        <f>+Raw_data!A390</f>
        <v>13.8262</v>
      </c>
      <c r="K51" s="584">
        <f>+Raw_data!A435</f>
        <v>13.8247</v>
      </c>
      <c r="O51" s="584"/>
      <c r="P51" s="442"/>
      <c r="Q51" s="584"/>
      <c r="R51" s="442"/>
      <c r="S51" s="584"/>
      <c r="T51" s="442"/>
    </row>
    <row r="52" spans="1:20">
      <c r="A52" s="436" t="s">
        <v>363</v>
      </c>
      <c r="B52" s="585">
        <f>+Raw_data!A31</f>
        <v>55.764699999999998</v>
      </c>
      <c r="C52" s="584">
        <f>+Raw_data!A76</f>
        <v>55.753500000000003</v>
      </c>
      <c r="D52" s="584">
        <f>+Raw_data!A121</f>
        <v>55.744900000000001</v>
      </c>
      <c r="E52" s="584">
        <f>+Raw_data!A166</f>
        <v>55.773400000000002</v>
      </c>
      <c r="F52" s="584">
        <f>+Raw_data!A211</f>
        <v>55.769100000000002</v>
      </c>
      <c r="G52" s="584">
        <f>+Raw_data!A256</f>
        <v>55.761400000000002</v>
      </c>
      <c r="H52" s="584">
        <f>+Raw_data!A301</f>
        <v>55.7746</v>
      </c>
      <c r="I52" s="584">
        <f>+Raw_data!A346</f>
        <v>55.766300000000001</v>
      </c>
      <c r="J52" s="584">
        <f>+Raw_data!A391</f>
        <v>55.758200000000002</v>
      </c>
      <c r="K52" s="584">
        <f>+Raw_data!A436</f>
        <v>55.752800000000001</v>
      </c>
      <c r="O52" s="584"/>
      <c r="P52" s="442"/>
      <c r="Q52" s="584"/>
      <c r="R52" s="442"/>
      <c r="S52" s="584"/>
      <c r="T52" s="442"/>
    </row>
    <row r="53" spans="1:20">
      <c r="A53" s="436" t="s">
        <v>364</v>
      </c>
      <c r="B53" s="584">
        <f>+Raw_data!A32</f>
        <v>0</v>
      </c>
      <c r="C53" s="584">
        <f>+Raw_data!A77</f>
        <v>0</v>
      </c>
      <c r="D53" s="584">
        <f>+Raw_data!A122</f>
        <v>0</v>
      </c>
      <c r="E53" s="584">
        <f>+Raw_data!A167</f>
        <v>0</v>
      </c>
      <c r="F53" s="584">
        <f>+Raw_data!A212</f>
        <v>0</v>
      </c>
      <c r="G53" s="584">
        <f>+Raw_data!A257</f>
        <v>0</v>
      </c>
      <c r="H53" s="584">
        <f>+Raw_data!A302</f>
        <v>0</v>
      </c>
      <c r="I53" s="584">
        <f>+Raw_data!A347</f>
        <v>0</v>
      </c>
      <c r="J53" s="584">
        <f>+Raw_data!A392</f>
        <v>0</v>
      </c>
      <c r="K53" s="584">
        <f>+Raw_data!A437</f>
        <v>0</v>
      </c>
      <c r="O53" s="584"/>
      <c r="P53" s="442"/>
      <c r="Q53" s="584"/>
      <c r="R53" s="442"/>
      <c r="S53" s="584"/>
      <c r="T53" s="442"/>
    </row>
    <row r="54" spans="1:20">
      <c r="A54" s="436" t="s">
        <v>365</v>
      </c>
      <c r="B54" s="584">
        <f>+Raw_data!A33</f>
        <v>0</v>
      </c>
      <c r="C54" s="584">
        <f>+Raw_data!A78</f>
        <v>0</v>
      </c>
      <c r="D54" s="584">
        <f>+Raw_data!A123</f>
        <v>0</v>
      </c>
      <c r="E54" s="584">
        <f>+Raw_data!A168</f>
        <v>0</v>
      </c>
      <c r="F54" s="584">
        <f>+Raw_data!A213</f>
        <v>0</v>
      </c>
      <c r="G54" s="584">
        <f>+Raw_data!A258</f>
        <v>0</v>
      </c>
      <c r="H54" s="584">
        <f>+Raw_data!A303</f>
        <v>0</v>
      </c>
      <c r="I54" s="584">
        <f>+Raw_data!A348</f>
        <v>0</v>
      </c>
      <c r="J54" s="584">
        <f>+Raw_data!A393</f>
        <v>0</v>
      </c>
      <c r="K54" s="584">
        <f>+Raw_data!A438</f>
        <v>0</v>
      </c>
      <c r="O54" s="584"/>
      <c r="P54" s="442"/>
      <c r="Q54" s="584"/>
      <c r="R54" s="442"/>
      <c r="S54" s="584"/>
      <c r="T54" s="442"/>
    </row>
    <row r="55" spans="1:20">
      <c r="O55" s="584"/>
      <c r="P55" s="442"/>
      <c r="Q55" s="584"/>
      <c r="R55" s="442"/>
      <c r="S55" s="584"/>
      <c r="T55" s="442"/>
    </row>
    <row r="56" spans="1:20">
      <c r="O56" s="584"/>
      <c r="P56" s="442"/>
      <c r="Q56" s="584"/>
      <c r="R56" s="442"/>
      <c r="S56" s="584"/>
      <c r="T56" s="442"/>
    </row>
    <row r="57" spans="1:20">
      <c r="O57" s="584"/>
      <c r="P57" s="442"/>
      <c r="Q57" s="584"/>
      <c r="R57" s="442"/>
      <c r="S57" s="584"/>
      <c r="T57" s="442"/>
    </row>
    <row r="58" spans="1:20">
      <c r="A58" s="65" t="s">
        <v>376</v>
      </c>
      <c r="B58" s="443">
        <v>0</v>
      </c>
      <c r="O58" s="584"/>
      <c r="P58" s="442"/>
      <c r="Q58" s="584"/>
      <c r="R58" s="442"/>
      <c r="S58" s="584"/>
      <c r="T58" s="442"/>
    </row>
    <row r="59" spans="1:20">
      <c r="A59" s="65" t="s">
        <v>377</v>
      </c>
      <c r="B59" s="442">
        <f>+B80</f>
        <v>20</v>
      </c>
      <c r="O59" s="584"/>
      <c r="P59" s="442"/>
      <c r="Q59" s="584"/>
      <c r="R59" s="442"/>
      <c r="S59" s="584"/>
      <c r="T59" s="442"/>
    </row>
    <row r="60" spans="1:20">
      <c r="O60" s="584"/>
      <c r="P60" s="442"/>
      <c r="Q60" s="584"/>
      <c r="R60" s="442"/>
      <c r="S60" s="584"/>
      <c r="T60" s="442"/>
    </row>
    <row r="61" spans="1:20">
      <c r="A61" s="585" t="s">
        <v>378</v>
      </c>
      <c r="B61" s="584" t="s">
        <v>351</v>
      </c>
      <c r="C61" s="584" t="s">
        <v>352</v>
      </c>
      <c r="D61" s="584" t="s">
        <v>353</v>
      </c>
      <c r="E61" s="584" t="s">
        <v>354</v>
      </c>
      <c r="F61" s="442" t="s">
        <v>355</v>
      </c>
      <c r="G61" s="584" t="s">
        <v>356</v>
      </c>
      <c r="H61" s="584" t="s">
        <v>357</v>
      </c>
      <c r="I61" s="584" t="s">
        <v>358</v>
      </c>
      <c r="J61" s="584" t="s">
        <v>359</v>
      </c>
      <c r="K61" s="584" t="s">
        <v>360</v>
      </c>
      <c r="O61" s="584"/>
      <c r="P61" s="442"/>
      <c r="Q61" s="584"/>
      <c r="R61" s="442"/>
      <c r="S61" s="584"/>
      <c r="T61" s="442"/>
    </row>
    <row r="62" spans="1:20">
      <c r="A62" s="442">
        <f>+B58</f>
        <v>0</v>
      </c>
      <c r="B62" s="442">
        <f t="shared" ref="B62:K62" si="0">$C$3*HEX2DEC(RIGHT(B7,2))/255</f>
        <v>57.372549019607845</v>
      </c>
      <c r="C62" s="442">
        <f t="shared" si="0"/>
        <v>57.098039215686278</v>
      </c>
      <c r="D62" s="442">
        <f t="shared" si="0"/>
        <v>57.372549019607845</v>
      </c>
      <c r="E62" s="442">
        <f t="shared" si="0"/>
        <v>57.098039215686278</v>
      </c>
      <c r="F62" s="442">
        <f t="shared" si="0"/>
        <v>57.372549019607845</v>
      </c>
      <c r="G62" s="442">
        <f t="shared" si="0"/>
        <v>57.372549019607845</v>
      </c>
      <c r="H62" s="442">
        <f t="shared" si="0"/>
        <v>57.098039215686278</v>
      </c>
      <c r="I62" s="442">
        <f t="shared" si="0"/>
        <v>57.372549019607845</v>
      </c>
      <c r="J62" s="442">
        <f t="shared" si="0"/>
        <v>57.372549019607845</v>
      </c>
      <c r="K62" s="442">
        <f t="shared" si="0"/>
        <v>57.372549019607845</v>
      </c>
      <c r="M62" s="584"/>
      <c r="O62" s="584"/>
      <c r="P62" s="442"/>
      <c r="Q62" s="584"/>
      <c r="R62" s="442"/>
      <c r="S62" s="584"/>
      <c r="T62" s="442"/>
    </row>
    <row r="63" spans="1:20">
      <c r="A63" s="442">
        <f t="shared" ref="A63:A77" si="1">+A62+$B$59</f>
        <v>20</v>
      </c>
      <c r="B63" s="442">
        <f t="shared" ref="B63:K63" si="2">$C$3*HEX2DEC(RIGHT(B8,2))/255</f>
        <v>57.372549019607845</v>
      </c>
      <c r="C63" s="442">
        <f t="shared" si="2"/>
        <v>57.372549019607845</v>
      </c>
      <c r="D63" s="442">
        <f t="shared" si="2"/>
        <v>57.372549019607845</v>
      </c>
      <c r="E63" s="442">
        <f t="shared" si="2"/>
        <v>57.372549019607845</v>
      </c>
      <c r="F63" s="442">
        <f t="shared" si="2"/>
        <v>57.372549019607845</v>
      </c>
      <c r="G63" s="442">
        <f t="shared" si="2"/>
        <v>57.372549019607845</v>
      </c>
      <c r="H63" s="442">
        <f t="shared" si="2"/>
        <v>57.372549019607845</v>
      </c>
      <c r="I63" s="442">
        <f t="shared" si="2"/>
        <v>57.372549019607845</v>
      </c>
      <c r="J63" s="442">
        <f t="shared" si="2"/>
        <v>57.372549019607845</v>
      </c>
      <c r="K63" s="442">
        <f t="shared" si="2"/>
        <v>57.372549019607845</v>
      </c>
      <c r="M63" s="584"/>
      <c r="O63" s="584"/>
      <c r="P63" s="442"/>
      <c r="Q63" s="584"/>
      <c r="R63" s="442"/>
      <c r="S63" s="584"/>
      <c r="T63" s="442"/>
    </row>
    <row r="64" spans="1:20">
      <c r="A64" s="442">
        <f t="shared" si="1"/>
        <v>40</v>
      </c>
      <c r="B64" s="442">
        <f t="shared" ref="B64:K64" si="3">$C$3*HEX2DEC(RIGHT(B9,2))/255</f>
        <v>52.431372549019606</v>
      </c>
      <c r="C64" s="442">
        <f t="shared" si="3"/>
        <v>57.372549019607845</v>
      </c>
      <c r="D64" s="442">
        <f t="shared" si="3"/>
        <v>53.803921568627452</v>
      </c>
      <c r="E64" s="442">
        <f t="shared" si="3"/>
        <v>57.372549019607845</v>
      </c>
      <c r="F64" s="442">
        <f t="shared" si="3"/>
        <v>57.372549019607845</v>
      </c>
      <c r="G64" s="442">
        <f t="shared" si="3"/>
        <v>57.372549019607845</v>
      </c>
      <c r="H64" s="442">
        <f t="shared" si="3"/>
        <v>57.372549019607845</v>
      </c>
      <c r="I64" s="442">
        <f t="shared" si="3"/>
        <v>57.372549019607845</v>
      </c>
      <c r="J64" s="442">
        <f t="shared" si="3"/>
        <v>57.372549019607845</v>
      </c>
      <c r="K64" s="442">
        <f t="shared" si="3"/>
        <v>57.372549019607845</v>
      </c>
      <c r="M64" s="584"/>
      <c r="O64" s="584"/>
      <c r="P64" s="442"/>
      <c r="Q64" s="584"/>
      <c r="R64" s="442"/>
      <c r="S64" s="584"/>
      <c r="T64" s="442"/>
    </row>
    <row r="65" spans="1:20">
      <c r="A65" s="442">
        <f t="shared" si="1"/>
        <v>60</v>
      </c>
      <c r="B65" s="442">
        <f t="shared" ref="B65:K65" si="4">$C$3*HEX2DEC(RIGHT(B10,2))/255</f>
        <v>52.431372549019606</v>
      </c>
      <c r="C65" s="442">
        <f t="shared" si="4"/>
        <v>57.372549019607845</v>
      </c>
      <c r="D65" s="442">
        <f t="shared" si="4"/>
        <v>53.803921568627452</v>
      </c>
      <c r="E65" s="442">
        <f t="shared" si="4"/>
        <v>57.372549019607845</v>
      </c>
      <c r="F65" s="442">
        <f t="shared" si="4"/>
        <v>57.372549019607845</v>
      </c>
      <c r="G65" s="442">
        <f t="shared" si="4"/>
        <v>57.372549019607845</v>
      </c>
      <c r="H65" s="442">
        <f t="shared" si="4"/>
        <v>57.372549019607845</v>
      </c>
      <c r="I65" s="442">
        <f t="shared" si="4"/>
        <v>57.372549019607845</v>
      </c>
      <c r="J65" s="442">
        <f t="shared" si="4"/>
        <v>57.372549019607845</v>
      </c>
      <c r="K65" s="442">
        <f t="shared" si="4"/>
        <v>57.372549019607845</v>
      </c>
      <c r="M65" s="584"/>
      <c r="O65" s="584"/>
      <c r="P65" s="442"/>
      <c r="Q65" s="584"/>
      <c r="R65" s="442"/>
      <c r="S65" s="584"/>
      <c r="T65" s="442"/>
    </row>
    <row r="66" spans="1:20">
      <c r="A66" s="442">
        <f t="shared" si="1"/>
        <v>80</v>
      </c>
      <c r="B66" s="442">
        <f t="shared" ref="B66:K66" si="5">$C$3*HEX2DEC(RIGHT(B11,2))/255</f>
        <v>52.431372549019606</v>
      </c>
      <c r="C66" s="442">
        <f t="shared" si="5"/>
        <v>57.372549019607845</v>
      </c>
      <c r="D66" s="442">
        <f t="shared" si="5"/>
        <v>53.803921568627452</v>
      </c>
      <c r="E66" s="442">
        <f t="shared" si="5"/>
        <v>57.372549019607845</v>
      </c>
      <c r="F66" s="442">
        <f t="shared" si="5"/>
        <v>57.372549019607845</v>
      </c>
      <c r="G66" s="442">
        <f t="shared" si="5"/>
        <v>57.372549019607845</v>
      </c>
      <c r="H66" s="442">
        <f t="shared" si="5"/>
        <v>57.372549019607845</v>
      </c>
      <c r="I66" s="442">
        <f t="shared" si="5"/>
        <v>57.372549019607845</v>
      </c>
      <c r="J66" s="442">
        <f t="shared" si="5"/>
        <v>57.372549019607845</v>
      </c>
      <c r="K66" s="442">
        <f t="shared" si="5"/>
        <v>57.372549019607845</v>
      </c>
      <c r="M66" s="584"/>
      <c r="O66" s="584"/>
      <c r="P66" s="442"/>
      <c r="Q66" s="584"/>
      <c r="R66" s="442"/>
      <c r="S66" s="584"/>
      <c r="T66" s="442"/>
    </row>
    <row r="67" spans="1:20">
      <c r="A67" s="442">
        <f t="shared" si="1"/>
        <v>100</v>
      </c>
      <c r="B67" s="442">
        <f t="shared" ref="B67:K67" si="6">$C$3*HEX2DEC(RIGHT(B12,2))/255</f>
        <v>52.431372549019606</v>
      </c>
      <c r="C67" s="442">
        <f t="shared" si="6"/>
        <v>36.784313725490193</v>
      </c>
      <c r="D67" s="442">
        <f t="shared" si="6"/>
        <v>53.803921568627452</v>
      </c>
      <c r="E67" s="442">
        <f t="shared" si="6"/>
        <v>36.509803921568626</v>
      </c>
      <c r="F67" s="442">
        <f t="shared" si="6"/>
        <v>36.235294117647058</v>
      </c>
      <c r="G67" s="442">
        <f t="shared" si="6"/>
        <v>36.509803921568626</v>
      </c>
      <c r="H67" s="442">
        <f t="shared" si="6"/>
        <v>36.235294117647058</v>
      </c>
      <c r="I67" s="442">
        <f t="shared" si="6"/>
        <v>36.235294117647058</v>
      </c>
      <c r="J67" s="442">
        <f t="shared" si="6"/>
        <v>57.372549019607845</v>
      </c>
      <c r="K67" s="442">
        <f t="shared" si="6"/>
        <v>57.372549019607845</v>
      </c>
      <c r="M67" s="584"/>
      <c r="O67" s="584"/>
      <c r="P67" s="442"/>
      <c r="Q67" s="584"/>
      <c r="R67" s="442"/>
      <c r="S67" s="584"/>
      <c r="T67" s="442"/>
    </row>
    <row r="68" spans="1:20">
      <c r="A68" s="442">
        <f t="shared" si="1"/>
        <v>120</v>
      </c>
      <c r="B68" s="442">
        <f t="shared" ref="B68:K68" si="7">$C$3*HEX2DEC(RIGHT(B13,2))/255</f>
        <v>31.019607843137255</v>
      </c>
      <c r="C68" s="442">
        <f t="shared" si="7"/>
        <v>36.784313725490193</v>
      </c>
      <c r="D68" s="442">
        <f t="shared" si="7"/>
        <v>32.117647058823529</v>
      </c>
      <c r="E68" s="442">
        <f t="shared" si="7"/>
        <v>36.509803921568626</v>
      </c>
      <c r="F68" s="442">
        <f t="shared" si="7"/>
        <v>36.235294117647058</v>
      </c>
      <c r="G68" s="442">
        <f t="shared" si="7"/>
        <v>36.509803921568626</v>
      </c>
      <c r="H68" s="442">
        <f t="shared" si="7"/>
        <v>36.235294117647058</v>
      </c>
      <c r="I68" s="442">
        <f t="shared" si="7"/>
        <v>36.235294117647058</v>
      </c>
      <c r="J68" s="442">
        <f t="shared" si="7"/>
        <v>35.686274509803923</v>
      </c>
      <c r="K68" s="442">
        <f t="shared" si="7"/>
        <v>35.96078431372549</v>
      </c>
      <c r="M68" s="584"/>
      <c r="O68" s="584"/>
      <c r="P68" s="442"/>
      <c r="Q68" s="584"/>
      <c r="R68" s="442"/>
      <c r="S68" s="584"/>
      <c r="T68" s="442"/>
    </row>
    <row r="69" spans="1:20">
      <c r="A69" s="442">
        <f t="shared" si="1"/>
        <v>140</v>
      </c>
      <c r="B69" s="442">
        <f t="shared" ref="B69:K69" si="8">$C$3*HEX2DEC(RIGHT(B14,2))/255</f>
        <v>31.019607843137255</v>
      </c>
      <c r="C69" s="442">
        <f t="shared" si="8"/>
        <v>36.784313725490193</v>
      </c>
      <c r="D69" s="442">
        <f t="shared" si="8"/>
        <v>32.117647058823529</v>
      </c>
      <c r="E69" s="442">
        <f t="shared" si="8"/>
        <v>36.509803921568626</v>
      </c>
      <c r="F69" s="442">
        <f t="shared" si="8"/>
        <v>36.235294117647058</v>
      </c>
      <c r="G69" s="442">
        <f t="shared" si="8"/>
        <v>36.509803921568626</v>
      </c>
      <c r="H69" s="442">
        <f t="shared" si="8"/>
        <v>36.235294117647058</v>
      </c>
      <c r="I69" s="442">
        <f t="shared" si="8"/>
        <v>36.235294117647058</v>
      </c>
      <c r="J69" s="442">
        <f t="shared" si="8"/>
        <v>35.686274509803923</v>
      </c>
      <c r="K69" s="442">
        <f t="shared" si="8"/>
        <v>35.96078431372549</v>
      </c>
      <c r="M69" s="584"/>
      <c r="O69" s="584"/>
      <c r="P69" s="442"/>
      <c r="Q69" s="584"/>
      <c r="R69" s="442"/>
      <c r="S69" s="584"/>
      <c r="T69" s="442"/>
    </row>
    <row r="70" spans="1:20">
      <c r="A70" s="442">
        <f t="shared" si="1"/>
        <v>160</v>
      </c>
      <c r="B70" s="442">
        <f t="shared" ref="B70:K70" si="9">$C$3*HEX2DEC(RIGHT(B15,2))/255</f>
        <v>31.019607843137255</v>
      </c>
      <c r="C70" s="442">
        <f t="shared" si="9"/>
        <v>36.784313725490193</v>
      </c>
      <c r="D70" s="442">
        <f t="shared" si="9"/>
        <v>32.117647058823529</v>
      </c>
      <c r="E70" s="442">
        <f t="shared" si="9"/>
        <v>36.509803921568626</v>
      </c>
      <c r="F70" s="442">
        <f t="shared" si="9"/>
        <v>36.235294117647058</v>
      </c>
      <c r="G70" s="442">
        <f t="shared" si="9"/>
        <v>36.509803921568626</v>
      </c>
      <c r="H70" s="442">
        <f t="shared" si="9"/>
        <v>36.235294117647058</v>
      </c>
      <c r="I70" s="442">
        <f t="shared" si="9"/>
        <v>36.235294117647058</v>
      </c>
      <c r="J70" s="442">
        <f t="shared" si="9"/>
        <v>35.686274509803923</v>
      </c>
      <c r="K70" s="442">
        <f t="shared" si="9"/>
        <v>35.96078431372549</v>
      </c>
      <c r="M70" s="584"/>
      <c r="O70" s="584"/>
      <c r="P70" s="442"/>
      <c r="Q70" s="584"/>
      <c r="R70" s="442"/>
      <c r="S70" s="584"/>
      <c r="T70" s="442"/>
    </row>
    <row r="71" spans="1:20">
      <c r="A71" s="442">
        <f t="shared" si="1"/>
        <v>180</v>
      </c>
      <c r="B71" s="442">
        <f t="shared" ref="B71:K71" si="10">$C$3*HEX2DEC(RIGHT(B16,2))/255</f>
        <v>31.019607843137255</v>
      </c>
      <c r="C71" s="442">
        <f t="shared" si="10"/>
        <v>14.823529411764707</v>
      </c>
      <c r="D71" s="442">
        <f t="shared" si="10"/>
        <v>32.117647058823529</v>
      </c>
      <c r="E71" s="442">
        <f t="shared" si="10"/>
        <v>14.823529411764707</v>
      </c>
      <c r="F71" s="442">
        <f t="shared" si="10"/>
        <v>14.549019607843137</v>
      </c>
      <c r="G71" s="442">
        <f t="shared" si="10"/>
        <v>14.823529411764707</v>
      </c>
      <c r="H71" s="442">
        <f t="shared" si="10"/>
        <v>14.274509803921569</v>
      </c>
      <c r="I71" s="442">
        <f t="shared" si="10"/>
        <v>14.549019607843137</v>
      </c>
      <c r="J71" s="442">
        <f t="shared" si="10"/>
        <v>35.686274509803923</v>
      </c>
      <c r="K71" s="442">
        <f t="shared" si="10"/>
        <v>14</v>
      </c>
      <c r="M71" s="584"/>
    </row>
    <row r="72" spans="1:20">
      <c r="A72" s="442">
        <f t="shared" si="1"/>
        <v>200</v>
      </c>
      <c r="B72" s="442">
        <f t="shared" ref="B72:K72" si="11">$C$3*HEX2DEC(RIGHT(B17,2))/255</f>
        <v>14</v>
      </c>
      <c r="C72" s="442">
        <f t="shared" si="11"/>
        <v>14.823529411764707</v>
      </c>
      <c r="D72" s="442">
        <f t="shared" si="11"/>
        <v>14</v>
      </c>
      <c r="E72" s="442">
        <f t="shared" si="11"/>
        <v>14.823529411764707</v>
      </c>
      <c r="F72" s="442">
        <f t="shared" si="11"/>
        <v>14.549019607843137</v>
      </c>
      <c r="G72" s="442">
        <f t="shared" si="11"/>
        <v>14.823529411764707</v>
      </c>
      <c r="H72" s="442">
        <f t="shared" si="11"/>
        <v>14.274509803921569</v>
      </c>
      <c r="I72" s="442">
        <f t="shared" si="11"/>
        <v>14.549019607843137</v>
      </c>
      <c r="J72" s="442">
        <f t="shared" si="11"/>
        <v>14</v>
      </c>
      <c r="K72" s="442">
        <f t="shared" si="11"/>
        <v>14</v>
      </c>
      <c r="M72" s="584"/>
    </row>
    <row r="73" spans="1:20">
      <c r="A73" s="442">
        <f t="shared" si="1"/>
        <v>220</v>
      </c>
      <c r="B73" s="442">
        <f t="shared" ref="B73:K73" si="12">$C$3*HEX2DEC(RIGHT(B18,2))/255</f>
        <v>14</v>
      </c>
      <c r="C73" s="442">
        <f t="shared" si="12"/>
        <v>14.823529411764707</v>
      </c>
      <c r="D73" s="442">
        <f t="shared" si="12"/>
        <v>14</v>
      </c>
      <c r="E73" s="442">
        <f t="shared" si="12"/>
        <v>14.823529411764707</v>
      </c>
      <c r="F73" s="442">
        <f t="shared" si="12"/>
        <v>14.549019607843137</v>
      </c>
      <c r="G73" s="442">
        <f t="shared" si="12"/>
        <v>14.823529411764707</v>
      </c>
      <c r="H73" s="442">
        <f t="shared" si="12"/>
        <v>14.274509803921569</v>
      </c>
      <c r="I73" s="442">
        <f t="shared" si="12"/>
        <v>14.549019607843137</v>
      </c>
      <c r="J73" s="442">
        <f t="shared" si="12"/>
        <v>14</v>
      </c>
      <c r="K73" s="442">
        <f t="shared" si="12"/>
        <v>14</v>
      </c>
      <c r="M73" s="584"/>
    </row>
    <row r="74" spans="1:20">
      <c r="A74" s="442">
        <f t="shared" si="1"/>
        <v>240</v>
      </c>
      <c r="B74" s="442">
        <f t="shared" ref="B74:K74" si="13">$C$3*HEX2DEC(RIGHT(B19,2))/255</f>
        <v>14</v>
      </c>
      <c r="C74" s="442">
        <f t="shared" si="13"/>
        <v>13.725490196078431</v>
      </c>
      <c r="D74" s="442">
        <f t="shared" si="13"/>
        <v>14</v>
      </c>
      <c r="E74" s="442">
        <f t="shared" si="13"/>
        <v>13.725490196078431</v>
      </c>
      <c r="F74" s="442">
        <f t="shared" si="13"/>
        <v>14.549019607843137</v>
      </c>
      <c r="G74" s="442">
        <f t="shared" si="13"/>
        <v>13.725490196078431</v>
      </c>
      <c r="H74" s="442">
        <f t="shared" si="13"/>
        <v>14.274509803921569</v>
      </c>
      <c r="I74" s="442">
        <f t="shared" si="13"/>
        <v>14.549019607843137</v>
      </c>
      <c r="J74" s="442">
        <f t="shared" si="13"/>
        <v>14</v>
      </c>
      <c r="K74" s="442">
        <f t="shared" si="13"/>
        <v>14</v>
      </c>
      <c r="M74" s="584"/>
      <c r="O74" s="584"/>
      <c r="P74" s="584"/>
    </row>
    <row r="75" spans="1:20">
      <c r="A75" s="442">
        <f t="shared" si="1"/>
        <v>260</v>
      </c>
      <c r="B75" s="442">
        <f t="shared" ref="B75:K75" si="14">$C$3*HEX2DEC(RIGHT(B20,2))/255</f>
        <v>14</v>
      </c>
      <c r="C75" s="442">
        <f t="shared" si="14"/>
        <v>13.725490196078431</v>
      </c>
      <c r="D75" s="442">
        <f t="shared" si="14"/>
        <v>14</v>
      </c>
      <c r="E75" s="442">
        <f t="shared" si="14"/>
        <v>13.725490196078431</v>
      </c>
      <c r="F75" s="442">
        <f t="shared" si="14"/>
        <v>13.725490196078431</v>
      </c>
      <c r="G75" s="442">
        <f t="shared" si="14"/>
        <v>13.725490196078431</v>
      </c>
      <c r="H75" s="442">
        <f t="shared" si="14"/>
        <v>13.725490196078431</v>
      </c>
      <c r="I75" s="442">
        <f t="shared" si="14"/>
        <v>13.725490196078431</v>
      </c>
      <c r="J75" s="442">
        <f t="shared" si="14"/>
        <v>13.725490196078431</v>
      </c>
      <c r="K75" s="442">
        <f t="shared" si="14"/>
        <v>13.725490196078431</v>
      </c>
      <c r="M75" s="584"/>
      <c r="O75" s="434"/>
      <c r="P75" s="434"/>
    </row>
    <row r="76" spans="1:20">
      <c r="A76" s="442">
        <f t="shared" si="1"/>
        <v>280</v>
      </c>
      <c r="B76" s="442">
        <f t="shared" ref="B76:K76" si="15">$C$3*HEX2DEC(RIGHT(B21,2))/255</f>
        <v>13.725490196078431</v>
      </c>
      <c r="C76" s="442">
        <f t="shared" si="15"/>
        <v>13.725490196078431</v>
      </c>
      <c r="D76" s="442">
        <f t="shared" si="15"/>
        <v>13.725490196078431</v>
      </c>
      <c r="E76" s="442">
        <f t="shared" si="15"/>
        <v>13.725490196078431</v>
      </c>
      <c r="F76" s="442">
        <f t="shared" si="15"/>
        <v>13.725490196078431</v>
      </c>
      <c r="G76" s="442">
        <f t="shared" si="15"/>
        <v>13.725490196078431</v>
      </c>
      <c r="H76" s="442">
        <f t="shared" si="15"/>
        <v>13.725490196078431</v>
      </c>
      <c r="I76" s="442">
        <f t="shared" si="15"/>
        <v>13.725490196078431</v>
      </c>
      <c r="J76" s="442">
        <f t="shared" si="15"/>
        <v>13.725490196078431</v>
      </c>
      <c r="K76" s="442">
        <f t="shared" si="15"/>
        <v>13.725490196078431</v>
      </c>
      <c r="M76" s="584"/>
      <c r="N76" s="442"/>
      <c r="O76" s="584"/>
      <c r="P76" s="584"/>
    </row>
    <row r="77" spans="1:20">
      <c r="A77" s="442">
        <f t="shared" si="1"/>
        <v>300</v>
      </c>
      <c r="B77" s="442">
        <f t="shared" ref="B77:K77" si="16">$C$3*HEX2DEC(RIGHT(B22,2))/255</f>
        <v>13.725490196078431</v>
      </c>
      <c r="C77" s="442">
        <f t="shared" si="16"/>
        <v>13.725490196078431</v>
      </c>
      <c r="D77" s="442">
        <f t="shared" si="16"/>
        <v>13.725490196078431</v>
      </c>
      <c r="E77" s="442">
        <f t="shared" si="16"/>
        <v>13.725490196078431</v>
      </c>
      <c r="F77" s="442">
        <f t="shared" si="16"/>
        <v>13.725490196078431</v>
      </c>
      <c r="G77" s="442">
        <f t="shared" si="16"/>
        <v>13.725490196078431</v>
      </c>
      <c r="H77" s="442">
        <f t="shared" si="16"/>
        <v>13.725490196078431</v>
      </c>
      <c r="I77" s="442">
        <f t="shared" si="16"/>
        <v>13.725490196078431</v>
      </c>
      <c r="J77" s="442">
        <f t="shared" si="16"/>
        <v>13.725490196078431</v>
      </c>
      <c r="K77" s="442">
        <f t="shared" si="16"/>
        <v>13.725490196078431</v>
      </c>
      <c r="M77" s="584"/>
      <c r="N77" s="442"/>
      <c r="O77" s="584"/>
      <c r="P77" s="584"/>
    </row>
    <row r="78" spans="1:20">
      <c r="N78" s="442"/>
      <c r="O78" s="584"/>
      <c r="P78" s="584"/>
    </row>
    <row r="79" spans="1:20">
      <c r="A79" s="65" t="s">
        <v>376</v>
      </c>
      <c r="B79" s="442">
        <f>+Raw_data!A455</f>
        <v>300</v>
      </c>
      <c r="N79" s="442"/>
      <c r="O79" s="584"/>
      <c r="P79" s="584"/>
    </row>
    <row r="80" spans="1:20">
      <c r="A80" s="65" t="s">
        <v>377</v>
      </c>
      <c r="B80" s="442">
        <f>+B79/15</f>
        <v>20</v>
      </c>
      <c r="N80" s="442"/>
      <c r="O80" s="584"/>
      <c r="P80" s="584"/>
    </row>
    <row r="81" spans="1:16">
      <c r="N81" s="442"/>
      <c r="O81" s="584"/>
      <c r="P81" s="584"/>
    </row>
    <row r="82" spans="1:16">
      <c r="A82" s="585" t="s">
        <v>378</v>
      </c>
      <c r="B82" s="584" t="s">
        <v>379</v>
      </c>
      <c r="C82" s="584" t="s">
        <v>367</v>
      </c>
      <c r="D82" s="584" t="s">
        <v>368</v>
      </c>
      <c r="E82" s="584" t="s">
        <v>369</v>
      </c>
      <c r="F82" s="584" t="s">
        <v>370</v>
      </c>
      <c r="G82" s="584" t="s">
        <v>371</v>
      </c>
      <c r="H82" s="584" t="s">
        <v>372</v>
      </c>
      <c r="I82" s="584" t="s">
        <v>373</v>
      </c>
      <c r="J82" s="584" t="s">
        <v>374</v>
      </c>
      <c r="K82" s="584" t="s">
        <v>375</v>
      </c>
      <c r="M82" s="584"/>
      <c r="N82" s="442"/>
      <c r="O82" s="584"/>
      <c r="P82" s="584"/>
    </row>
    <row r="83" spans="1:16">
      <c r="A83" s="442">
        <f>+B79</f>
        <v>300</v>
      </c>
      <c r="B83" s="442">
        <f t="shared" ref="B83:K83" si="17">$C$3*HEX2DEC(RIGHT(B24,2))/255</f>
        <v>13.725490196078431</v>
      </c>
      <c r="C83" s="442">
        <f t="shared" si="17"/>
        <v>13.725490196078431</v>
      </c>
      <c r="D83" s="442">
        <f t="shared" si="17"/>
        <v>13.725490196078431</v>
      </c>
      <c r="E83" s="442">
        <f t="shared" si="17"/>
        <v>13.725490196078431</v>
      </c>
      <c r="F83" s="442">
        <f t="shared" si="17"/>
        <v>13.725490196078431</v>
      </c>
      <c r="G83" s="442">
        <f t="shared" si="17"/>
        <v>13.725490196078431</v>
      </c>
      <c r="H83" s="442">
        <f t="shared" si="17"/>
        <v>13.725490196078431</v>
      </c>
      <c r="I83" s="442">
        <f t="shared" si="17"/>
        <v>13.725490196078431</v>
      </c>
      <c r="J83" s="442">
        <f t="shared" si="17"/>
        <v>13.725490196078431</v>
      </c>
      <c r="K83" s="442">
        <f t="shared" si="17"/>
        <v>13.725490196078431</v>
      </c>
      <c r="M83" s="584"/>
      <c r="N83" s="442"/>
      <c r="O83" s="434"/>
      <c r="P83" s="434"/>
    </row>
    <row r="84" spans="1:16">
      <c r="A84" s="442">
        <f t="shared" ref="A84:A98" si="18">+A83+$B$59</f>
        <v>320</v>
      </c>
      <c r="B84" s="442">
        <f t="shared" ref="B84:K84" si="19">$C$3*HEX2DEC(RIGHT(B25,2))/255</f>
        <v>13.725490196078431</v>
      </c>
      <c r="C84" s="442">
        <f t="shared" si="19"/>
        <v>13.725490196078431</v>
      </c>
      <c r="D84" s="442">
        <f t="shared" si="19"/>
        <v>13.725490196078431</v>
      </c>
      <c r="E84" s="442">
        <f t="shared" si="19"/>
        <v>13.725490196078431</v>
      </c>
      <c r="F84" s="442">
        <f t="shared" si="19"/>
        <v>13.725490196078431</v>
      </c>
      <c r="G84" s="442">
        <f t="shared" si="19"/>
        <v>13.725490196078431</v>
      </c>
      <c r="H84" s="442">
        <f t="shared" si="19"/>
        <v>13.725490196078431</v>
      </c>
      <c r="I84" s="442">
        <f t="shared" si="19"/>
        <v>13.725490196078431</v>
      </c>
      <c r="J84" s="442">
        <f t="shared" si="19"/>
        <v>13.725490196078431</v>
      </c>
      <c r="K84" s="442">
        <f t="shared" si="19"/>
        <v>13.725490196078431</v>
      </c>
      <c r="M84" s="584"/>
      <c r="N84" s="442"/>
      <c r="O84" s="584"/>
      <c r="P84" s="584"/>
    </row>
    <row r="85" spans="1:16">
      <c r="A85" s="442">
        <f t="shared" si="18"/>
        <v>340</v>
      </c>
      <c r="B85" s="442">
        <f t="shared" ref="B85:K85" si="20">$C$3*HEX2DEC(RIGHT(B26,2))/255</f>
        <v>13.725490196078431</v>
      </c>
      <c r="C85" s="442">
        <f t="shared" si="20"/>
        <v>15.372549019607844</v>
      </c>
      <c r="D85" s="442">
        <f t="shared" si="20"/>
        <v>13.725490196078431</v>
      </c>
      <c r="E85" s="442">
        <f t="shared" si="20"/>
        <v>13.725490196078431</v>
      </c>
      <c r="F85" s="442">
        <f t="shared" si="20"/>
        <v>13.725490196078431</v>
      </c>
      <c r="G85" s="442">
        <f t="shared" si="20"/>
        <v>17.568627450980394</v>
      </c>
      <c r="H85" s="442">
        <f t="shared" si="20"/>
        <v>13.725490196078431</v>
      </c>
      <c r="I85" s="442">
        <f t="shared" si="20"/>
        <v>13.725490196078431</v>
      </c>
      <c r="J85" s="442">
        <f t="shared" si="20"/>
        <v>13.725490196078431</v>
      </c>
      <c r="K85" s="442">
        <f t="shared" si="20"/>
        <v>13.725490196078431</v>
      </c>
      <c r="M85" s="584"/>
      <c r="N85" s="442"/>
      <c r="O85" s="584"/>
      <c r="P85" s="584"/>
    </row>
    <row r="86" spans="1:16">
      <c r="A86" s="442">
        <f t="shared" si="18"/>
        <v>360</v>
      </c>
      <c r="B86" s="442">
        <f t="shared" ref="B86:K86" si="21">$C$3*HEX2DEC(RIGHT(B27,2))/255</f>
        <v>13.725490196078431</v>
      </c>
      <c r="C86" s="442">
        <f t="shared" si="21"/>
        <v>15.372549019607844</v>
      </c>
      <c r="D86" s="442">
        <f t="shared" si="21"/>
        <v>13.725490196078431</v>
      </c>
      <c r="E86" s="442">
        <f t="shared" si="21"/>
        <v>13.725490196078431</v>
      </c>
      <c r="F86" s="442">
        <f t="shared" si="21"/>
        <v>13.725490196078431</v>
      </c>
      <c r="G86" s="442">
        <f t="shared" si="21"/>
        <v>17.568627450980394</v>
      </c>
      <c r="H86" s="442">
        <f t="shared" si="21"/>
        <v>13.725490196078431</v>
      </c>
      <c r="I86" s="442">
        <f t="shared" si="21"/>
        <v>13.725490196078431</v>
      </c>
      <c r="J86" s="442">
        <f t="shared" si="21"/>
        <v>13.725490196078431</v>
      </c>
      <c r="K86" s="442">
        <f t="shared" si="21"/>
        <v>13.725490196078431</v>
      </c>
      <c r="M86" s="584"/>
      <c r="N86" s="442"/>
      <c r="O86" s="584"/>
      <c r="P86" s="584"/>
    </row>
    <row r="87" spans="1:16">
      <c r="A87" s="442">
        <f t="shared" si="18"/>
        <v>380</v>
      </c>
      <c r="B87" s="442">
        <f t="shared" ref="B87:K87" si="22">$C$3*HEX2DEC(RIGHT(B28,2))/255</f>
        <v>13.725490196078431</v>
      </c>
      <c r="C87" s="442">
        <f t="shared" si="22"/>
        <v>15.372549019607844</v>
      </c>
      <c r="D87" s="442">
        <f t="shared" si="22"/>
        <v>13.725490196078431</v>
      </c>
      <c r="E87" s="442">
        <f t="shared" si="22"/>
        <v>13.725490196078431</v>
      </c>
      <c r="F87" s="442">
        <f t="shared" si="22"/>
        <v>13.725490196078431</v>
      </c>
      <c r="G87" s="442">
        <f t="shared" si="22"/>
        <v>17.568627450980394</v>
      </c>
      <c r="H87" s="442">
        <f t="shared" si="22"/>
        <v>13.725490196078431</v>
      </c>
      <c r="I87" s="442">
        <f t="shared" si="22"/>
        <v>13.725490196078431</v>
      </c>
      <c r="J87" s="442">
        <f t="shared" si="22"/>
        <v>13.725490196078431</v>
      </c>
      <c r="K87" s="442">
        <f t="shared" si="22"/>
        <v>13.725490196078431</v>
      </c>
      <c r="M87" s="584"/>
      <c r="N87" s="442"/>
      <c r="O87" s="584"/>
      <c r="P87" s="584"/>
    </row>
    <row r="88" spans="1:16">
      <c r="A88" s="442">
        <f t="shared" si="18"/>
        <v>400</v>
      </c>
      <c r="B88" s="442">
        <f t="shared" ref="B88:K88" si="23">$C$3*HEX2DEC(RIGHT(B29,2))/255</f>
        <v>34.862745098039213</v>
      </c>
      <c r="C88" s="442">
        <f t="shared" si="23"/>
        <v>15.372549019607844</v>
      </c>
      <c r="D88" s="442">
        <f t="shared" si="23"/>
        <v>34.862745098039213</v>
      </c>
      <c r="E88" s="442">
        <f t="shared" si="23"/>
        <v>13.725490196078431</v>
      </c>
      <c r="F88" s="442">
        <f t="shared" si="23"/>
        <v>34.862745098039213</v>
      </c>
      <c r="G88" s="442">
        <f t="shared" si="23"/>
        <v>17.568627450980394</v>
      </c>
      <c r="H88" s="442">
        <f t="shared" si="23"/>
        <v>34.588235294117645</v>
      </c>
      <c r="I88" s="442">
        <f t="shared" si="23"/>
        <v>34.588235294117645</v>
      </c>
      <c r="J88" s="442">
        <f t="shared" si="23"/>
        <v>34.862745098039213</v>
      </c>
      <c r="K88" s="442">
        <f t="shared" si="23"/>
        <v>34.588235294117645</v>
      </c>
      <c r="M88" s="584"/>
      <c r="N88" s="442"/>
      <c r="O88" s="584"/>
      <c r="P88" s="584"/>
    </row>
    <row r="89" spans="1:16">
      <c r="A89" s="442">
        <f t="shared" si="18"/>
        <v>420</v>
      </c>
      <c r="B89" s="442">
        <f t="shared" ref="B89:K89" si="24">$C$3*HEX2DEC(RIGHT(B30,2))/255</f>
        <v>34.862745098039213</v>
      </c>
      <c r="C89" s="442">
        <f t="shared" si="24"/>
        <v>36.784313725490193</v>
      </c>
      <c r="D89" s="442">
        <f t="shared" si="24"/>
        <v>34.862745098039213</v>
      </c>
      <c r="E89" s="442">
        <f t="shared" si="24"/>
        <v>35.137254901960787</v>
      </c>
      <c r="F89" s="442">
        <f t="shared" si="24"/>
        <v>34.862745098039213</v>
      </c>
      <c r="G89" s="442">
        <f t="shared" si="24"/>
        <v>39.254901960784316</v>
      </c>
      <c r="H89" s="442">
        <f t="shared" si="24"/>
        <v>34.588235294117645</v>
      </c>
      <c r="I89" s="442">
        <f t="shared" si="24"/>
        <v>34.588235294117645</v>
      </c>
      <c r="J89" s="442">
        <f t="shared" si="24"/>
        <v>34.862745098039213</v>
      </c>
      <c r="K89" s="442">
        <f t="shared" si="24"/>
        <v>34.588235294117645</v>
      </c>
      <c r="M89" s="584"/>
      <c r="N89" s="442"/>
      <c r="O89" s="584"/>
      <c r="P89" s="584"/>
    </row>
    <row r="90" spans="1:16">
      <c r="A90" s="442">
        <f t="shared" si="18"/>
        <v>440</v>
      </c>
      <c r="B90" s="442">
        <f t="shared" ref="B90:K90" si="25">$C$3*HEX2DEC(RIGHT(B31,2))/255</f>
        <v>34.862745098039213</v>
      </c>
      <c r="C90" s="442">
        <f t="shared" si="25"/>
        <v>36.784313725490193</v>
      </c>
      <c r="D90" s="442">
        <f t="shared" si="25"/>
        <v>34.862745098039213</v>
      </c>
      <c r="E90" s="442">
        <f t="shared" si="25"/>
        <v>35.137254901960787</v>
      </c>
      <c r="F90" s="442">
        <f t="shared" si="25"/>
        <v>34.862745098039213</v>
      </c>
      <c r="G90" s="442">
        <f t="shared" si="25"/>
        <v>39.254901960784316</v>
      </c>
      <c r="H90" s="442">
        <f t="shared" si="25"/>
        <v>34.588235294117645</v>
      </c>
      <c r="I90" s="442">
        <f t="shared" si="25"/>
        <v>34.588235294117645</v>
      </c>
      <c r="J90" s="442">
        <f t="shared" si="25"/>
        <v>34.862745098039213</v>
      </c>
      <c r="K90" s="442">
        <f t="shared" si="25"/>
        <v>34.588235294117645</v>
      </c>
      <c r="M90" s="584"/>
      <c r="N90" s="442"/>
      <c r="O90" s="584"/>
      <c r="P90" s="584"/>
    </row>
    <row r="91" spans="1:16">
      <c r="A91" s="442">
        <f t="shared" si="18"/>
        <v>460</v>
      </c>
      <c r="B91" s="442">
        <f t="shared" ref="B91:K91" si="26">$C$3*HEX2DEC(RIGHT(B32,2))/255</f>
        <v>34.862745098039213</v>
      </c>
      <c r="C91" s="442">
        <f t="shared" si="26"/>
        <v>36.784313725490193</v>
      </c>
      <c r="D91" s="442">
        <f t="shared" si="26"/>
        <v>34.862745098039213</v>
      </c>
      <c r="E91" s="442">
        <f t="shared" si="26"/>
        <v>35.137254901960787</v>
      </c>
      <c r="F91" s="442">
        <f t="shared" si="26"/>
        <v>34.862745098039213</v>
      </c>
      <c r="G91" s="442">
        <f t="shared" si="26"/>
        <v>39.254901960784316</v>
      </c>
      <c r="H91" s="442">
        <f t="shared" si="26"/>
        <v>34.588235294117645</v>
      </c>
      <c r="I91" s="442">
        <f t="shared" si="26"/>
        <v>34.588235294117645</v>
      </c>
      <c r="J91" s="442">
        <f t="shared" si="26"/>
        <v>34.862745098039213</v>
      </c>
      <c r="K91" s="442">
        <f t="shared" si="26"/>
        <v>34.588235294117645</v>
      </c>
      <c r="M91" s="584"/>
      <c r="N91" s="442"/>
      <c r="O91" s="584"/>
      <c r="P91" s="584"/>
    </row>
    <row r="92" spans="1:16">
      <c r="A92" s="442">
        <f t="shared" si="18"/>
        <v>480</v>
      </c>
      <c r="B92" s="442">
        <f t="shared" ref="B92:K92" si="27">$C$3*HEX2DEC(RIGHT(B33,2))/255</f>
        <v>56.549019607843135</v>
      </c>
      <c r="C92" s="442">
        <f t="shared" si="27"/>
        <v>36.784313725490193</v>
      </c>
      <c r="D92" s="442">
        <f t="shared" si="27"/>
        <v>56.549019607843135</v>
      </c>
      <c r="E92" s="442">
        <f t="shared" si="27"/>
        <v>56.823529411764703</v>
      </c>
      <c r="F92" s="442">
        <f t="shared" si="27"/>
        <v>56.549019607843135</v>
      </c>
      <c r="G92" s="442">
        <f t="shared" si="27"/>
        <v>39.254901960784316</v>
      </c>
      <c r="H92" s="442">
        <f t="shared" si="27"/>
        <v>56.274509803921568</v>
      </c>
      <c r="I92" s="442">
        <f t="shared" si="27"/>
        <v>56.274509803921568</v>
      </c>
      <c r="J92" s="442">
        <f t="shared" si="27"/>
        <v>56.549019607843135</v>
      </c>
      <c r="K92" s="442">
        <f t="shared" si="27"/>
        <v>56.274509803921568</v>
      </c>
      <c r="M92" s="584"/>
      <c r="O92" s="584"/>
      <c r="P92" s="584"/>
    </row>
    <row r="93" spans="1:16">
      <c r="A93" s="442">
        <f t="shared" si="18"/>
        <v>500</v>
      </c>
      <c r="B93" s="442">
        <f t="shared" ref="B93:K93" si="28">$C$3*HEX2DEC(RIGHT(B34,2))/255</f>
        <v>56.549019607843135</v>
      </c>
      <c r="C93" s="442">
        <f t="shared" si="28"/>
        <v>56.823529411764703</v>
      </c>
      <c r="D93" s="442">
        <f t="shared" si="28"/>
        <v>56.549019607843135</v>
      </c>
      <c r="E93" s="442">
        <f t="shared" si="28"/>
        <v>56.823529411764703</v>
      </c>
      <c r="F93" s="442">
        <f t="shared" si="28"/>
        <v>56.549019607843135</v>
      </c>
      <c r="G93" s="442">
        <f t="shared" si="28"/>
        <v>56.823529411764703</v>
      </c>
      <c r="H93" s="442">
        <f t="shared" si="28"/>
        <v>56.274509803921568</v>
      </c>
      <c r="I93" s="442">
        <f t="shared" si="28"/>
        <v>56.274509803921568</v>
      </c>
      <c r="J93" s="442">
        <f t="shared" si="28"/>
        <v>56.549019607843135</v>
      </c>
      <c r="K93" s="442">
        <f t="shared" si="28"/>
        <v>56.274509803921568</v>
      </c>
      <c r="M93" s="584"/>
    </row>
    <row r="94" spans="1:16">
      <c r="A94" s="442">
        <f t="shared" si="18"/>
        <v>520</v>
      </c>
      <c r="B94" s="442">
        <f t="shared" ref="B94:K94" si="29">$C$3*HEX2DEC(RIGHT(B35,2))/255</f>
        <v>56.549019607843135</v>
      </c>
      <c r="C94" s="442">
        <f t="shared" si="29"/>
        <v>56.823529411764703</v>
      </c>
      <c r="D94" s="442">
        <f t="shared" si="29"/>
        <v>56.549019607843135</v>
      </c>
      <c r="E94" s="442">
        <f t="shared" si="29"/>
        <v>56.823529411764703</v>
      </c>
      <c r="F94" s="442">
        <f t="shared" si="29"/>
        <v>56.549019607843135</v>
      </c>
      <c r="G94" s="442">
        <f t="shared" si="29"/>
        <v>56.823529411764703</v>
      </c>
      <c r="H94" s="442">
        <f t="shared" si="29"/>
        <v>56.274509803921568</v>
      </c>
      <c r="I94" s="442">
        <f t="shared" si="29"/>
        <v>56.274509803921568</v>
      </c>
      <c r="J94" s="442">
        <f t="shared" si="29"/>
        <v>56.549019607843135</v>
      </c>
      <c r="K94" s="442">
        <f t="shared" si="29"/>
        <v>56.274509803921568</v>
      </c>
      <c r="M94" s="584"/>
    </row>
    <row r="95" spans="1:16">
      <c r="A95" s="442">
        <f t="shared" si="18"/>
        <v>540</v>
      </c>
      <c r="B95" s="442">
        <f t="shared" ref="B95:K95" si="30">$C$3*HEX2DEC(RIGHT(B36,2))/255</f>
        <v>56.549019607843135</v>
      </c>
      <c r="C95" s="442">
        <f t="shared" si="30"/>
        <v>56.823529411764703</v>
      </c>
      <c r="D95" s="442">
        <f t="shared" si="30"/>
        <v>56.549019607843135</v>
      </c>
      <c r="E95" s="442">
        <f t="shared" si="30"/>
        <v>56.823529411764703</v>
      </c>
      <c r="F95" s="442">
        <f t="shared" si="30"/>
        <v>56.549019607843135</v>
      </c>
      <c r="G95" s="442">
        <f t="shared" si="30"/>
        <v>56.823529411764703</v>
      </c>
      <c r="H95" s="442">
        <f t="shared" si="30"/>
        <v>56.274509803921568</v>
      </c>
      <c r="I95" s="442">
        <f t="shared" si="30"/>
        <v>57.372549019607845</v>
      </c>
      <c r="J95" s="442">
        <f t="shared" si="30"/>
        <v>56.549019607843135</v>
      </c>
      <c r="K95" s="442">
        <f t="shared" si="30"/>
        <v>57.098039215686278</v>
      </c>
      <c r="M95" s="584"/>
    </row>
    <row r="96" spans="1:16">
      <c r="A96" s="442">
        <f t="shared" si="18"/>
        <v>560</v>
      </c>
      <c r="B96" s="442">
        <f t="shared" ref="B96:K96" si="31">$C$3*HEX2DEC(RIGHT(B37,2))/255</f>
        <v>57.098039215686278</v>
      </c>
      <c r="C96" s="442">
        <f t="shared" si="31"/>
        <v>57.098039215686278</v>
      </c>
      <c r="D96" s="442">
        <f t="shared" si="31"/>
        <v>57.372549019607845</v>
      </c>
      <c r="E96" s="442">
        <f t="shared" si="31"/>
        <v>57.098039215686278</v>
      </c>
      <c r="F96" s="442">
        <f t="shared" si="31"/>
        <v>57.372549019607845</v>
      </c>
      <c r="G96" s="442">
        <f t="shared" si="31"/>
        <v>57.372549019607845</v>
      </c>
      <c r="H96" s="442">
        <f t="shared" si="31"/>
        <v>57.098039215686278</v>
      </c>
      <c r="I96" s="442">
        <f t="shared" si="31"/>
        <v>57.372549019607845</v>
      </c>
      <c r="J96" s="442">
        <f t="shared" si="31"/>
        <v>57.098039215686278</v>
      </c>
      <c r="K96" s="442">
        <f t="shared" si="31"/>
        <v>57.098039215686278</v>
      </c>
      <c r="M96" s="584"/>
    </row>
    <row r="97" spans="1:13">
      <c r="A97" s="442">
        <f t="shared" si="18"/>
        <v>580</v>
      </c>
      <c r="B97" s="442">
        <f t="shared" ref="B97:K97" si="32">$C$3*HEX2DEC(RIGHT(B38,2))/255</f>
        <v>57.098039215686278</v>
      </c>
      <c r="C97" s="442">
        <f t="shared" si="32"/>
        <v>57.098039215686278</v>
      </c>
      <c r="D97" s="442">
        <f t="shared" si="32"/>
        <v>57.372549019607845</v>
      </c>
      <c r="E97" s="442">
        <f t="shared" si="32"/>
        <v>57.098039215686278</v>
      </c>
      <c r="F97" s="442">
        <f t="shared" si="32"/>
        <v>57.372549019607845</v>
      </c>
      <c r="G97" s="442">
        <f t="shared" si="32"/>
        <v>57.372549019607845</v>
      </c>
      <c r="H97" s="442">
        <f t="shared" si="32"/>
        <v>57.098039215686278</v>
      </c>
      <c r="I97" s="442">
        <f t="shared" si="32"/>
        <v>57.372549019607845</v>
      </c>
      <c r="J97" s="442">
        <f t="shared" si="32"/>
        <v>57.098039215686278</v>
      </c>
      <c r="K97" s="442">
        <f t="shared" si="32"/>
        <v>57.098039215686278</v>
      </c>
      <c r="M97" s="584"/>
    </row>
    <row r="98" spans="1:13">
      <c r="A98" s="442">
        <f t="shared" si="18"/>
        <v>600</v>
      </c>
      <c r="B98" s="442">
        <f t="shared" ref="B98:K98" si="33">$C$3*HEX2DEC(RIGHT(B39,2))/255</f>
        <v>57.098039215686278</v>
      </c>
      <c r="C98" s="442">
        <f t="shared" si="33"/>
        <v>57.098039215686278</v>
      </c>
      <c r="D98" s="442">
        <f t="shared" si="33"/>
        <v>57.372549019607845</v>
      </c>
      <c r="E98" s="442">
        <f t="shared" si="33"/>
        <v>57.098039215686278</v>
      </c>
      <c r="F98" s="442">
        <f t="shared" si="33"/>
        <v>57.372549019607845</v>
      </c>
      <c r="G98" s="442">
        <f t="shared" si="33"/>
        <v>57.372549019607845</v>
      </c>
      <c r="H98" s="442">
        <f t="shared" si="33"/>
        <v>57.098039215686278</v>
      </c>
      <c r="I98" s="442">
        <f t="shared" si="33"/>
        <v>57.372549019607845</v>
      </c>
      <c r="J98" s="442">
        <f t="shared" si="33"/>
        <v>57.098039215686278</v>
      </c>
      <c r="K98" s="442">
        <f t="shared" si="33"/>
        <v>57.098039215686278</v>
      </c>
    </row>
    <row r="102" spans="1:13" ht="13.15" customHeight="1">
      <c r="B102" s="584" t="s">
        <v>351</v>
      </c>
      <c r="C102" s="584" t="s">
        <v>352</v>
      </c>
      <c r="D102" s="584" t="s">
        <v>353</v>
      </c>
      <c r="E102" s="584" t="s">
        <v>354</v>
      </c>
      <c r="F102" s="442" t="s">
        <v>355</v>
      </c>
      <c r="G102" s="584" t="s">
        <v>356</v>
      </c>
      <c r="H102" s="584" t="s">
        <v>357</v>
      </c>
      <c r="I102" s="584" t="s">
        <v>358</v>
      </c>
      <c r="J102" s="584" t="s">
        <v>359</v>
      </c>
      <c r="K102" s="584" t="s">
        <v>360</v>
      </c>
    </row>
    <row r="103" spans="1:13" ht="13.15" customHeight="1">
      <c r="A103" s="1092" t="s">
        <v>380</v>
      </c>
      <c r="B103" s="435">
        <f t="shared" ref="B103:K103" si="34">+(B62-B$44)/B$44</f>
        <v>3.1518952280732826</v>
      </c>
      <c r="C103" s="435">
        <f t="shared" si="34"/>
        <v>3.1323287460510865</v>
      </c>
      <c r="D103" s="435">
        <f t="shared" si="34"/>
        <v>3.1515647468872134</v>
      </c>
      <c r="E103" s="435">
        <f t="shared" si="34"/>
        <v>3.1291312049874009</v>
      </c>
      <c r="F103" s="435">
        <f t="shared" si="34"/>
        <v>3.1498831125711817</v>
      </c>
      <c r="G103" s="435">
        <f t="shared" si="34"/>
        <v>3.1496129769714916</v>
      </c>
      <c r="H103" s="435">
        <f t="shared" si="34"/>
        <v>3.1287132011776477</v>
      </c>
      <c r="I103" s="435">
        <f t="shared" si="34"/>
        <v>3.1498230793984829</v>
      </c>
      <c r="J103" s="435">
        <f t="shared" si="34"/>
        <v>3.152135611076297</v>
      </c>
      <c r="K103" s="435">
        <f t="shared" si="34"/>
        <v>3.1532176791376751</v>
      </c>
    </row>
    <row r="104" spans="1:13">
      <c r="A104" s="1092"/>
      <c r="B104" s="435">
        <f t="shared" ref="B104:K104" si="35">+(B63-B$44)/B$44</f>
        <v>3.1518952280732826</v>
      </c>
      <c r="C104" s="435">
        <f t="shared" si="35"/>
        <v>3.1521957111763319</v>
      </c>
      <c r="D104" s="435">
        <f t="shared" si="35"/>
        <v>3.1515647468872134</v>
      </c>
      <c r="E104" s="435">
        <f t="shared" si="35"/>
        <v>3.1489827973190714</v>
      </c>
      <c r="F104" s="435">
        <f t="shared" si="35"/>
        <v>3.1498831125711817</v>
      </c>
      <c r="G104" s="435">
        <f t="shared" si="35"/>
        <v>3.1496129769714916</v>
      </c>
      <c r="H104" s="435">
        <f t="shared" si="35"/>
        <v>3.1485627838756174</v>
      </c>
      <c r="I104" s="435">
        <f t="shared" si="35"/>
        <v>3.1498230793984829</v>
      </c>
      <c r="J104" s="435">
        <f t="shared" si="35"/>
        <v>3.152135611076297</v>
      </c>
      <c r="K104" s="435">
        <f t="shared" si="35"/>
        <v>3.1532176791376751</v>
      </c>
    </row>
    <row r="105" spans="1:13">
      <c r="A105" s="1092"/>
      <c r="B105" s="435">
        <f t="shared" ref="B105:K105" si="36">+(B64-B$44)/B$44</f>
        <v>2.7943157347463963</v>
      </c>
      <c r="C105" s="435">
        <f t="shared" si="36"/>
        <v>3.1521957111763319</v>
      </c>
      <c r="D105" s="435">
        <f t="shared" si="36"/>
        <v>2.8933334468415972</v>
      </c>
      <c r="E105" s="435">
        <f t="shared" si="36"/>
        <v>3.1489827973190714</v>
      </c>
      <c r="F105" s="435">
        <f t="shared" si="36"/>
        <v>3.1498831125711817</v>
      </c>
      <c r="G105" s="435">
        <f t="shared" si="36"/>
        <v>3.1496129769714916</v>
      </c>
      <c r="H105" s="435">
        <f t="shared" si="36"/>
        <v>3.1485627838756174</v>
      </c>
      <c r="I105" s="435">
        <f t="shared" si="36"/>
        <v>3.1498230793984829</v>
      </c>
      <c r="J105" s="435">
        <f t="shared" si="36"/>
        <v>3.152135611076297</v>
      </c>
      <c r="K105" s="435">
        <f t="shared" si="36"/>
        <v>3.1532176791376751</v>
      </c>
    </row>
    <row r="106" spans="1:13">
      <c r="A106" s="1092"/>
      <c r="B106" s="435">
        <f t="shared" ref="B106:K106" si="37">+(B65-B$44)/B$44</f>
        <v>2.7943157347463963</v>
      </c>
      <c r="C106" s="435">
        <f t="shared" si="37"/>
        <v>3.1521957111763319</v>
      </c>
      <c r="D106" s="435">
        <f t="shared" si="37"/>
        <v>2.8933334468415972</v>
      </c>
      <c r="E106" s="435">
        <f t="shared" si="37"/>
        <v>3.1489827973190714</v>
      </c>
      <c r="F106" s="435">
        <f t="shared" si="37"/>
        <v>3.1498831125711817</v>
      </c>
      <c r="G106" s="435">
        <f t="shared" si="37"/>
        <v>3.1496129769714916</v>
      </c>
      <c r="H106" s="435">
        <f t="shared" si="37"/>
        <v>3.1485627838756174</v>
      </c>
      <c r="I106" s="435">
        <f t="shared" si="37"/>
        <v>3.1498230793984829</v>
      </c>
      <c r="J106" s="435">
        <f t="shared" si="37"/>
        <v>3.152135611076297</v>
      </c>
      <c r="K106" s="435">
        <f t="shared" si="37"/>
        <v>3.1532176791376751</v>
      </c>
    </row>
    <row r="107" spans="1:13">
      <c r="A107" s="1092"/>
      <c r="B107" s="435">
        <f t="shared" ref="B107:K107" si="38">+(B66-B$44)/B$44</f>
        <v>2.7943157347463963</v>
      </c>
      <c r="C107" s="435">
        <f t="shared" si="38"/>
        <v>3.1521957111763319</v>
      </c>
      <c r="D107" s="435">
        <f t="shared" si="38"/>
        <v>2.8933334468415972</v>
      </c>
      <c r="E107" s="435">
        <f t="shared" si="38"/>
        <v>3.1489827973190714</v>
      </c>
      <c r="F107" s="435">
        <f t="shared" si="38"/>
        <v>3.1498831125711817</v>
      </c>
      <c r="G107" s="435">
        <f t="shared" si="38"/>
        <v>3.1496129769714916</v>
      </c>
      <c r="H107" s="435">
        <f t="shared" si="38"/>
        <v>3.1485627838756174</v>
      </c>
      <c r="I107" s="435">
        <f t="shared" si="38"/>
        <v>3.1498230793984829</v>
      </c>
      <c r="J107" s="435">
        <f t="shared" si="38"/>
        <v>3.152135611076297</v>
      </c>
      <c r="K107" s="435">
        <f t="shared" si="38"/>
        <v>3.1532176791376751</v>
      </c>
    </row>
    <row r="108" spans="1:13">
      <c r="A108" s="1092"/>
      <c r="B108" s="435">
        <f t="shared" ref="B108:K108" si="39">+(B67-B$44)/B$44</f>
        <v>2.7943157347463963</v>
      </c>
      <c r="C108" s="435">
        <f t="shared" si="39"/>
        <v>1.6621733267829111</v>
      </c>
      <c r="D108" s="435">
        <f t="shared" si="39"/>
        <v>2.8933334468415972</v>
      </c>
      <c r="E108" s="435">
        <f t="shared" si="39"/>
        <v>1.640261780112136</v>
      </c>
      <c r="F108" s="435">
        <f t="shared" si="39"/>
        <v>1.6209788079396936</v>
      </c>
      <c r="G108" s="435">
        <f t="shared" si="39"/>
        <v>1.6406628035273125</v>
      </c>
      <c r="H108" s="435">
        <f t="shared" si="39"/>
        <v>1.6201449161319685</v>
      </c>
      <c r="I108" s="435">
        <f t="shared" si="39"/>
        <v>1.6209408922516733</v>
      </c>
      <c r="J108" s="435">
        <f t="shared" si="39"/>
        <v>3.152135611076297</v>
      </c>
      <c r="K108" s="435">
        <f t="shared" si="39"/>
        <v>3.1532176791376751</v>
      </c>
    </row>
    <row r="109" spans="1:13">
      <c r="A109" s="1092"/>
      <c r="B109" s="435">
        <f t="shared" ref="B109:K109" si="40">+(B68-B$44)/B$44</f>
        <v>1.2448045969965593</v>
      </c>
      <c r="C109" s="435">
        <f t="shared" si="40"/>
        <v>1.6621733267829111</v>
      </c>
      <c r="D109" s="435">
        <f t="shared" si="40"/>
        <v>1.3240817004105454</v>
      </c>
      <c r="E109" s="435">
        <f t="shared" si="40"/>
        <v>1.640261780112136</v>
      </c>
      <c r="F109" s="435">
        <f t="shared" si="40"/>
        <v>1.6209788079396936</v>
      </c>
      <c r="G109" s="435">
        <f t="shared" si="40"/>
        <v>1.6406628035273125</v>
      </c>
      <c r="H109" s="435">
        <f t="shared" si="40"/>
        <v>1.6201449161319685</v>
      </c>
      <c r="I109" s="435">
        <f t="shared" si="40"/>
        <v>1.6209408922516733</v>
      </c>
      <c r="J109" s="435">
        <f t="shared" si="40"/>
        <v>1.5826680834445868</v>
      </c>
      <c r="K109" s="435">
        <f t="shared" si="40"/>
        <v>1.6032129950575857</v>
      </c>
    </row>
    <row r="110" spans="1:13">
      <c r="A110" s="1092"/>
      <c r="B110" s="435">
        <f t="shared" ref="B110:K110" si="41">+(B69-B$44)/B$44</f>
        <v>1.2448045969965593</v>
      </c>
      <c r="C110" s="435">
        <f t="shared" si="41"/>
        <v>1.6621733267829111</v>
      </c>
      <c r="D110" s="435">
        <f t="shared" si="41"/>
        <v>1.3240817004105454</v>
      </c>
      <c r="E110" s="435">
        <f t="shared" si="41"/>
        <v>1.640261780112136</v>
      </c>
      <c r="F110" s="435">
        <f t="shared" si="41"/>
        <v>1.6209788079396936</v>
      </c>
      <c r="G110" s="435">
        <f t="shared" si="41"/>
        <v>1.6406628035273125</v>
      </c>
      <c r="H110" s="435">
        <f t="shared" si="41"/>
        <v>1.6201449161319685</v>
      </c>
      <c r="I110" s="435">
        <f t="shared" si="41"/>
        <v>1.6209408922516733</v>
      </c>
      <c r="J110" s="435">
        <f t="shared" si="41"/>
        <v>1.5826680834445868</v>
      </c>
      <c r="K110" s="435">
        <f t="shared" si="41"/>
        <v>1.6032129950575857</v>
      </c>
    </row>
    <row r="111" spans="1:13">
      <c r="A111" s="1092"/>
      <c r="B111" s="435">
        <f t="shared" ref="B111:K111" si="42">+(B70-B$44)/B$44</f>
        <v>1.2448045969965593</v>
      </c>
      <c r="C111" s="435">
        <f t="shared" si="42"/>
        <v>1.6621733267829111</v>
      </c>
      <c r="D111" s="435">
        <f t="shared" si="42"/>
        <v>1.3240817004105454</v>
      </c>
      <c r="E111" s="435">
        <f t="shared" si="42"/>
        <v>1.640261780112136</v>
      </c>
      <c r="F111" s="435">
        <f t="shared" si="42"/>
        <v>1.6209788079396936</v>
      </c>
      <c r="G111" s="435">
        <f t="shared" si="42"/>
        <v>1.6406628035273125</v>
      </c>
      <c r="H111" s="435">
        <f t="shared" si="42"/>
        <v>1.6201449161319685</v>
      </c>
      <c r="I111" s="435">
        <f t="shared" si="42"/>
        <v>1.6209408922516733</v>
      </c>
      <c r="J111" s="435">
        <f t="shared" si="42"/>
        <v>1.5826680834445868</v>
      </c>
      <c r="K111" s="435">
        <f t="shared" si="42"/>
        <v>1.6032129950575857</v>
      </c>
    </row>
    <row r="112" spans="1:13">
      <c r="A112" s="1092"/>
      <c r="B112" s="435">
        <f t="shared" ref="B112:K112" si="43">+(B71-B$44)/B$44</f>
        <v>1.2448045969965593</v>
      </c>
      <c r="C112" s="435">
        <f t="shared" si="43"/>
        <v>7.28161167632628E-2</v>
      </c>
      <c r="D112" s="435">
        <f t="shared" si="43"/>
        <v>1.3240817004105454</v>
      </c>
      <c r="E112" s="435">
        <f t="shared" si="43"/>
        <v>7.1985985910190661E-2</v>
      </c>
      <c r="F112" s="435">
        <f t="shared" si="43"/>
        <v>5.2362703187907228E-2</v>
      </c>
      <c r="G112" s="435">
        <f t="shared" si="43"/>
        <v>7.2148807447179664E-2</v>
      </c>
      <c r="H112" s="435">
        <f t="shared" si="43"/>
        <v>3.2178300294411946E-2</v>
      </c>
      <c r="I112" s="435">
        <f t="shared" si="43"/>
        <v>5.2347479464686965E-2</v>
      </c>
      <c r="J112" s="435">
        <f t="shared" si="43"/>
        <v>1.5826680834445868</v>
      </c>
      <c r="K112" s="435">
        <f t="shared" si="43"/>
        <v>1.3464601129289122E-2</v>
      </c>
    </row>
    <row r="113" spans="1:12">
      <c r="A113" s="1092"/>
      <c r="B113" s="435">
        <f t="shared" ref="B113:K113" si="44">+(B72-B$44)/B$44</f>
        <v>1.3141897759509026E-2</v>
      </c>
      <c r="C113" s="435">
        <f t="shared" si="44"/>
        <v>7.28161167632628E-2</v>
      </c>
      <c r="D113" s="435">
        <f t="shared" si="44"/>
        <v>1.3061254025109471E-2</v>
      </c>
      <c r="E113" s="435">
        <f t="shared" si="44"/>
        <v>7.1985985910190661E-2</v>
      </c>
      <c r="F113" s="435">
        <f t="shared" si="44"/>
        <v>5.2362703187907228E-2</v>
      </c>
      <c r="G113" s="435">
        <f t="shared" si="44"/>
        <v>7.2148807447179664E-2</v>
      </c>
      <c r="H113" s="435">
        <f t="shared" si="44"/>
        <v>3.2178300294411946E-2</v>
      </c>
      <c r="I113" s="435">
        <f t="shared" si="44"/>
        <v>5.2347479464686965E-2</v>
      </c>
      <c r="J113" s="435">
        <f t="shared" si="44"/>
        <v>1.3200555812876292E-2</v>
      </c>
      <c r="K113" s="435">
        <f t="shared" si="44"/>
        <v>1.3464601129289122E-2</v>
      </c>
    </row>
    <row r="114" spans="1:12">
      <c r="A114" s="1092"/>
      <c r="B114" s="435">
        <f t="shared" ref="B114:K114" si="45">+(B73-B$44)/B$44</f>
        <v>1.3141897759509026E-2</v>
      </c>
      <c r="C114" s="435">
        <f t="shared" si="45"/>
        <v>7.28161167632628E-2</v>
      </c>
      <c r="D114" s="435">
        <f t="shared" si="45"/>
        <v>1.3061254025109471E-2</v>
      </c>
      <c r="E114" s="435">
        <f t="shared" si="45"/>
        <v>7.1985985910190661E-2</v>
      </c>
      <c r="F114" s="435">
        <f t="shared" si="45"/>
        <v>5.2362703187907228E-2</v>
      </c>
      <c r="G114" s="435">
        <f t="shared" si="45"/>
        <v>7.2148807447179664E-2</v>
      </c>
      <c r="H114" s="435">
        <f t="shared" si="45"/>
        <v>3.2178300294411946E-2</v>
      </c>
      <c r="I114" s="435">
        <f t="shared" si="45"/>
        <v>5.2347479464686965E-2</v>
      </c>
      <c r="J114" s="435">
        <f t="shared" si="45"/>
        <v>1.3200555812876292E-2</v>
      </c>
      <c r="K114" s="435">
        <f t="shared" si="45"/>
        <v>1.3464601129289122E-2</v>
      </c>
    </row>
    <row r="115" spans="1:12">
      <c r="A115" s="1092"/>
      <c r="B115" s="435">
        <f t="shared" ref="B115:K115" si="46">+(B74-B$44)/B$44</f>
        <v>1.3141897759509026E-2</v>
      </c>
      <c r="C115" s="435">
        <f t="shared" si="46"/>
        <v>-6.651743737719735E-3</v>
      </c>
      <c r="D115" s="435">
        <f t="shared" si="46"/>
        <v>1.3061254025109471E-2</v>
      </c>
      <c r="E115" s="435">
        <f t="shared" si="46"/>
        <v>-7.4203834164902338E-3</v>
      </c>
      <c r="F115" s="435">
        <f t="shared" si="46"/>
        <v>5.2362703187907228E-2</v>
      </c>
      <c r="G115" s="435">
        <f t="shared" si="46"/>
        <v>-7.2696227340930085E-3</v>
      </c>
      <c r="H115" s="435">
        <f t="shared" si="46"/>
        <v>3.2178300294411946E-2</v>
      </c>
      <c r="I115" s="435">
        <f t="shared" si="46"/>
        <v>5.2347479464686965E-2</v>
      </c>
      <c r="J115" s="435">
        <f t="shared" si="46"/>
        <v>1.3200555812876292E-2</v>
      </c>
      <c r="K115" s="435">
        <f t="shared" si="46"/>
        <v>1.3464601129289122E-2</v>
      </c>
    </row>
    <row r="116" spans="1:12">
      <c r="A116" s="1092"/>
      <c r="B116" s="435">
        <f t="shared" ref="B116:K116" si="47">+(B75-B$44)/B$44</f>
        <v>1.3141897759509026E-2</v>
      </c>
      <c r="C116" s="435">
        <f t="shared" si="47"/>
        <v>-6.651743737719735E-3</v>
      </c>
      <c r="D116" s="435">
        <f t="shared" si="47"/>
        <v>1.3061254025109471E-2</v>
      </c>
      <c r="E116" s="435">
        <f t="shared" si="47"/>
        <v>-7.4203834164902338E-3</v>
      </c>
      <c r="F116" s="435">
        <f t="shared" si="47"/>
        <v>-7.2049969925403979E-3</v>
      </c>
      <c r="G116" s="435">
        <f t="shared" si="47"/>
        <v>-7.2696227340930085E-3</v>
      </c>
      <c r="H116" s="435">
        <f t="shared" si="47"/>
        <v>-7.5208651015270904E-3</v>
      </c>
      <c r="I116" s="435">
        <f t="shared" si="47"/>
        <v>-7.2193589955783814E-3</v>
      </c>
      <c r="J116" s="435">
        <f t="shared" si="47"/>
        <v>-6.6661217520821254E-3</v>
      </c>
      <c r="K116" s="435">
        <f t="shared" si="47"/>
        <v>-6.4072537948146437E-3</v>
      </c>
    </row>
    <row r="117" spans="1:12">
      <c r="A117" s="1092"/>
      <c r="B117" s="435">
        <f t="shared" ref="B117:K117" si="48">+(B76-B$44)/B$44</f>
        <v>-6.7236296475402281E-3</v>
      </c>
      <c r="C117" s="435">
        <f t="shared" si="48"/>
        <v>-6.651743737719735E-3</v>
      </c>
      <c r="D117" s="435">
        <f t="shared" si="48"/>
        <v>-6.8026921322456753E-3</v>
      </c>
      <c r="E117" s="435">
        <f t="shared" si="48"/>
        <v>-7.4203834164902338E-3</v>
      </c>
      <c r="F117" s="435">
        <f t="shared" si="48"/>
        <v>-7.2049969925403979E-3</v>
      </c>
      <c r="G117" s="435">
        <f t="shared" si="48"/>
        <v>-7.2696227340930085E-3</v>
      </c>
      <c r="H117" s="435">
        <f t="shared" si="48"/>
        <v>-7.5208651015270904E-3</v>
      </c>
      <c r="I117" s="435">
        <f t="shared" si="48"/>
        <v>-7.2193589955783814E-3</v>
      </c>
      <c r="J117" s="435">
        <f t="shared" si="48"/>
        <v>-6.6661217520821254E-3</v>
      </c>
      <c r="K117" s="435">
        <f t="shared" si="48"/>
        <v>-6.4072537948146437E-3</v>
      </c>
    </row>
    <row r="118" spans="1:12">
      <c r="A118" s="1092"/>
      <c r="B118" s="435">
        <f t="shared" ref="B118:K118" si="49">+(B77-B$44)/B$44</f>
        <v>-6.7236296475402281E-3</v>
      </c>
      <c r="C118" s="435">
        <f t="shared" si="49"/>
        <v>-6.651743737719735E-3</v>
      </c>
      <c r="D118" s="435">
        <f t="shared" si="49"/>
        <v>-6.8026921322456753E-3</v>
      </c>
      <c r="E118" s="435">
        <f t="shared" si="49"/>
        <v>-7.4203834164902338E-3</v>
      </c>
      <c r="F118" s="435">
        <f t="shared" si="49"/>
        <v>-7.2049969925403979E-3</v>
      </c>
      <c r="G118" s="435">
        <f t="shared" si="49"/>
        <v>-7.2696227340930085E-3</v>
      </c>
      <c r="H118" s="435">
        <f t="shared" si="49"/>
        <v>-7.5208651015270904E-3</v>
      </c>
      <c r="I118" s="435">
        <f t="shared" si="49"/>
        <v>-7.2193589955783814E-3</v>
      </c>
      <c r="J118" s="435">
        <f t="shared" si="49"/>
        <v>-6.6661217520821254E-3</v>
      </c>
      <c r="K118" s="435">
        <f t="shared" si="49"/>
        <v>-6.4072537948146437E-3</v>
      </c>
      <c r="L118" s="435">
        <f>+MIN(B118:K118)</f>
        <v>-7.5208651015270904E-3</v>
      </c>
    </row>
    <row r="119" spans="1:12">
      <c r="B119" s="435"/>
      <c r="L119" s="435">
        <f>+MAX(B118:K118)</f>
        <v>-6.4072537948146437E-3</v>
      </c>
    </row>
    <row r="120" spans="1:12">
      <c r="B120" s="435"/>
      <c r="K120" s="433" t="s">
        <v>458</v>
      </c>
      <c r="L120" s="435">
        <f>+(L119-L118)</f>
        <v>1.1136113067124467E-3</v>
      </c>
    </row>
    <row r="121" spans="1:12">
      <c r="B121" s="435"/>
      <c r="K121" s="433" t="s">
        <v>459</v>
      </c>
      <c r="L121" s="435">
        <f>+AVERAGE(B118:K118)</f>
        <v>-6.9886668304631524E-3</v>
      </c>
    </row>
    <row r="122" spans="1:12">
      <c r="B122" s="435"/>
    </row>
    <row r="123" spans="1:12">
      <c r="B123" s="584" t="s">
        <v>379</v>
      </c>
      <c r="C123" s="584" t="s">
        <v>367</v>
      </c>
      <c r="D123" s="584" t="s">
        <v>368</v>
      </c>
      <c r="E123" s="584" t="s">
        <v>369</v>
      </c>
      <c r="F123" s="584" t="s">
        <v>370</v>
      </c>
      <c r="G123" s="584" t="s">
        <v>371</v>
      </c>
      <c r="H123" s="584" t="s">
        <v>372</v>
      </c>
      <c r="I123" s="584" t="s">
        <v>373</v>
      </c>
      <c r="J123" s="584" t="s">
        <v>374</v>
      </c>
      <c r="K123" s="584" t="s">
        <v>375</v>
      </c>
    </row>
    <row r="124" spans="1:12">
      <c r="A124" s="1092" t="s">
        <v>381</v>
      </c>
      <c r="B124" s="435">
        <f t="shared" ref="B124:K124" si="50">+(B83-B$52)/B$52</f>
        <v>-0.75386776587915949</v>
      </c>
      <c r="C124" s="435">
        <f t="shared" si="50"/>
        <v>-0.75381832179005026</v>
      </c>
      <c r="D124" s="435">
        <f t="shared" si="50"/>
        <v>-0.75378034230793434</v>
      </c>
      <c r="E124" s="435">
        <f t="shared" si="50"/>
        <v>-0.75390615963741803</v>
      </c>
      <c r="F124" s="435">
        <f t="shared" si="50"/>
        <v>-0.75388718490923412</v>
      </c>
      <c r="G124" s="435">
        <f t="shared" si="50"/>
        <v>-0.75385319959544717</v>
      </c>
      <c r="H124" s="435">
        <f t="shared" si="50"/>
        <v>-0.75391145438822627</v>
      </c>
      <c r="I124" s="435">
        <f t="shared" si="50"/>
        <v>-0.75387482769919412</v>
      </c>
      <c r="J124" s="435">
        <f t="shared" si="50"/>
        <v>-0.75383907306766662</v>
      </c>
      <c r="K124" s="435">
        <f t="shared" si="50"/>
        <v>-0.75381523087489</v>
      </c>
    </row>
    <row r="125" spans="1:12">
      <c r="A125" s="1092"/>
      <c r="B125" s="435">
        <f t="shared" ref="B125:K125" si="51">+(B84-B$52)/B$52</f>
        <v>-0.75386776587915949</v>
      </c>
      <c r="C125" s="435">
        <f t="shared" si="51"/>
        <v>-0.75381832179005026</v>
      </c>
      <c r="D125" s="435">
        <f t="shared" si="51"/>
        <v>-0.75378034230793434</v>
      </c>
      <c r="E125" s="435">
        <f t="shared" si="51"/>
        <v>-0.75390615963741803</v>
      </c>
      <c r="F125" s="435">
        <f t="shared" si="51"/>
        <v>-0.75388718490923412</v>
      </c>
      <c r="G125" s="435">
        <f t="shared" si="51"/>
        <v>-0.75385319959544717</v>
      </c>
      <c r="H125" s="435">
        <f t="shared" si="51"/>
        <v>-0.75391145438822627</v>
      </c>
      <c r="I125" s="435">
        <f t="shared" si="51"/>
        <v>-0.75387482769919412</v>
      </c>
      <c r="J125" s="435">
        <f t="shared" si="51"/>
        <v>-0.75383907306766662</v>
      </c>
      <c r="K125" s="435">
        <f t="shared" si="51"/>
        <v>-0.75381523087489</v>
      </c>
    </row>
    <row r="126" spans="1:12">
      <c r="A126" s="1092"/>
      <c r="B126" s="435">
        <f t="shared" ref="B126:K126" si="52">+(B85-B$52)/B$52</f>
        <v>-0.75386776587915949</v>
      </c>
      <c r="C126" s="435">
        <f t="shared" si="52"/>
        <v>-0.72427652040485624</v>
      </c>
      <c r="D126" s="435">
        <f t="shared" si="52"/>
        <v>-0.75378034230793434</v>
      </c>
      <c r="E126" s="435">
        <f t="shared" si="52"/>
        <v>-0.75390615963741803</v>
      </c>
      <c r="F126" s="435">
        <f t="shared" si="52"/>
        <v>-0.75388718490923412</v>
      </c>
      <c r="G126" s="435">
        <f t="shared" si="52"/>
        <v>-0.68493209548217238</v>
      </c>
      <c r="H126" s="435">
        <f t="shared" si="52"/>
        <v>-0.75391145438822627</v>
      </c>
      <c r="I126" s="435">
        <f t="shared" si="52"/>
        <v>-0.75387482769919412</v>
      </c>
      <c r="J126" s="435">
        <f t="shared" si="52"/>
        <v>-0.75383907306766662</v>
      </c>
      <c r="K126" s="435">
        <f t="shared" si="52"/>
        <v>-0.75381523087489</v>
      </c>
    </row>
    <row r="127" spans="1:12">
      <c r="A127" s="1092"/>
      <c r="B127" s="435">
        <f t="shared" ref="B127:K127" si="53">+(B86-B$52)/B$52</f>
        <v>-0.75386776587915949</v>
      </c>
      <c r="C127" s="435">
        <f t="shared" si="53"/>
        <v>-0.72427652040485624</v>
      </c>
      <c r="D127" s="435">
        <f t="shared" si="53"/>
        <v>-0.75378034230793434</v>
      </c>
      <c r="E127" s="435">
        <f t="shared" si="53"/>
        <v>-0.75390615963741803</v>
      </c>
      <c r="F127" s="435">
        <f t="shared" si="53"/>
        <v>-0.75388718490923412</v>
      </c>
      <c r="G127" s="435">
        <f t="shared" si="53"/>
        <v>-0.68493209548217238</v>
      </c>
      <c r="H127" s="435">
        <f t="shared" si="53"/>
        <v>-0.75391145438822627</v>
      </c>
      <c r="I127" s="435">
        <f t="shared" si="53"/>
        <v>-0.75387482769919412</v>
      </c>
      <c r="J127" s="435">
        <f t="shared" si="53"/>
        <v>-0.75383907306766662</v>
      </c>
      <c r="K127" s="435">
        <f t="shared" si="53"/>
        <v>-0.75381523087489</v>
      </c>
    </row>
    <row r="128" spans="1:12">
      <c r="A128" s="1092"/>
      <c r="B128" s="435">
        <f t="shared" ref="B128:K128" si="54">+(B87-B$52)/B$52</f>
        <v>-0.75386776587915949</v>
      </c>
      <c r="C128" s="435">
        <f t="shared" si="54"/>
        <v>-0.72427652040485624</v>
      </c>
      <c r="D128" s="435">
        <f t="shared" si="54"/>
        <v>-0.75378034230793434</v>
      </c>
      <c r="E128" s="435">
        <f t="shared" si="54"/>
        <v>-0.75390615963741803</v>
      </c>
      <c r="F128" s="435">
        <f t="shared" si="54"/>
        <v>-0.75388718490923412</v>
      </c>
      <c r="G128" s="435">
        <f t="shared" si="54"/>
        <v>-0.68493209548217238</v>
      </c>
      <c r="H128" s="435">
        <f t="shared" si="54"/>
        <v>-0.75391145438822627</v>
      </c>
      <c r="I128" s="435">
        <f t="shared" si="54"/>
        <v>-0.75387482769919412</v>
      </c>
      <c r="J128" s="435">
        <f t="shared" si="54"/>
        <v>-0.75383907306766662</v>
      </c>
      <c r="K128" s="435">
        <f t="shared" si="54"/>
        <v>-0.75381523087489</v>
      </c>
    </row>
    <row r="129" spans="1:11">
      <c r="A129" s="1092"/>
      <c r="B129" s="435">
        <f t="shared" ref="B129:K129" si="55">+(B88-B$52)/B$52</f>
        <v>-0.37482412533306531</v>
      </c>
      <c r="C129" s="435">
        <f t="shared" si="55"/>
        <v>-0.72427652040485624</v>
      </c>
      <c r="D129" s="435">
        <f t="shared" si="55"/>
        <v>-0.3746020694621533</v>
      </c>
      <c r="E129" s="435">
        <f t="shared" si="55"/>
        <v>-0.75390615963741803</v>
      </c>
      <c r="F129" s="435">
        <f t="shared" si="55"/>
        <v>-0.37487344966945474</v>
      </c>
      <c r="G129" s="435">
        <f t="shared" si="55"/>
        <v>-0.68493209548217238</v>
      </c>
      <c r="H129" s="435">
        <f t="shared" si="55"/>
        <v>-0.37985686505833038</v>
      </c>
      <c r="I129" s="435">
        <f t="shared" si="55"/>
        <v>-0.37976456580196921</v>
      </c>
      <c r="J129" s="435">
        <f t="shared" si="55"/>
        <v>-0.37475124559187328</v>
      </c>
      <c r="K129" s="435">
        <f t="shared" si="55"/>
        <v>-0.3796143818047229</v>
      </c>
    </row>
    <row r="130" spans="1:11">
      <c r="A130" s="1092"/>
      <c r="B130" s="435">
        <f t="shared" ref="B130:K130" si="56">+(B89-B$52)/B$52</f>
        <v>-0.37482412533306531</v>
      </c>
      <c r="C130" s="435">
        <f t="shared" si="56"/>
        <v>-0.34023310239733484</v>
      </c>
      <c r="D130" s="435">
        <f t="shared" si="56"/>
        <v>-0.3746020694621533</v>
      </c>
      <c r="E130" s="435">
        <f t="shared" si="56"/>
        <v>-0.36999976867179002</v>
      </c>
      <c r="F130" s="435">
        <f t="shared" si="56"/>
        <v>-0.37487344966945474</v>
      </c>
      <c r="G130" s="435">
        <f t="shared" si="56"/>
        <v>-0.29602015084297895</v>
      </c>
      <c r="H130" s="435">
        <f t="shared" si="56"/>
        <v>-0.37985686505833038</v>
      </c>
      <c r="I130" s="435">
        <f t="shared" si="56"/>
        <v>-0.37976456580196921</v>
      </c>
      <c r="J130" s="435">
        <f t="shared" si="56"/>
        <v>-0.37475124559187328</v>
      </c>
      <c r="K130" s="435">
        <f t="shared" si="56"/>
        <v>-0.3796143818047229</v>
      </c>
    </row>
    <row r="131" spans="1:11">
      <c r="A131" s="1092"/>
      <c r="B131" s="435">
        <f t="shared" ref="B131:K131" si="57">+(B90-B$52)/B$52</f>
        <v>-0.37482412533306531</v>
      </c>
      <c r="C131" s="435">
        <f t="shared" si="57"/>
        <v>-0.34023310239733484</v>
      </c>
      <c r="D131" s="435">
        <f t="shared" si="57"/>
        <v>-0.3746020694621533</v>
      </c>
      <c r="E131" s="435">
        <f t="shared" si="57"/>
        <v>-0.36999976867179002</v>
      </c>
      <c r="F131" s="435">
        <f t="shared" si="57"/>
        <v>-0.37487344966945474</v>
      </c>
      <c r="G131" s="435">
        <f t="shared" si="57"/>
        <v>-0.29602015084297895</v>
      </c>
      <c r="H131" s="435">
        <f t="shared" si="57"/>
        <v>-0.37985686505833038</v>
      </c>
      <c r="I131" s="435">
        <f t="shared" si="57"/>
        <v>-0.37976456580196921</v>
      </c>
      <c r="J131" s="435">
        <f t="shared" si="57"/>
        <v>-0.37475124559187328</v>
      </c>
      <c r="K131" s="435">
        <f t="shared" si="57"/>
        <v>-0.3796143818047229</v>
      </c>
    </row>
    <row r="132" spans="1:11">
      <c r="A132" s="1092"/>
      <c r="B132" s="435">
        <f t="shared" ref="B132:K132" si="58">+(B91-B$52)/B$52</f>
        <v>-0.37482412533306531</v>
      </c>
      <c r="C132" s="435">
        <f t="shared" si="58"/>
        <v>-0.34023310239733484</v>
      </c>
      <c r="D132" s="435">
        <f t="shared" si="58"/>
        <v>-0.3746020694621533</v>
      </c>
      <c r="E132" s="435">
        <f t="shared" si="58"/>
        <v>-0.36999976867179002</v>
      </c>
      <c r="F132" s="435">
        <f t="shared" si="58"/>
        <v>-0.37487344966945474</v>
      </c>
      <c r="G132" s="435">
        <f t="shared" si="58"/>
        <v>-0.29602015084297895</v>
      </c>
      <c r="H132" s="435">
        <f t="shared" si="58"/>
        <v>-0.37985686505833038</v>
      </c>
      <c r="I132" s="435">
        <f t="shared" si="58"/>
        <v>-0.37976456580196921</v>
      </c>
      <c r="J132" s="435">
        <f t="shared" si="58"/>
        <v>-0.37475124559187328</v>
      </c>
      <c r="K132" s="435">
        <f t="shared" si="58"/>
        <v>-0.3796143818047229</v>
      </c>
    </row>
    <row r="133" spans="1:11">
      <c r="A133" s="1092"/>
      <c r="B133" s="435">
        <f t="shared" ref="B133:K133" si="59">+(B92-B$52)/B$52</f>
        <v>1.4064804577862655E-2</v>
      </c>
      <c r="C133" s="435">
        <f t="shared" si="59"/>
        <v>-0.34023310239733484</v>
      </c>
      <c r="D133" s="435">
        <f t="shared" si="59"/>
        <v>1.4424989691310489E-2</v>
      </c>
      <c r="E133" s="435">
        <f t="shared" si="59"/>
        <v>1.882849910108942E-2</v>
      </c>
      <c r="F133" s="435">
        <f t="shared" si="59"/>
        <v>1.3984798173955355E-2</v>
      </c>
      <c r="G133" s="435">
        <f t="shared" si="59"/>
        <v>-0.29602015084297895</v>
      </c>
      <c r="H133" s="435">
        <f t="shared" si="59"/>
        <v>8.9630370082720116E-3</v>
      </c>
      <c r="I133" s="435">
        <f t="shared" si="59"/>
        <v>9.1132064333041014E-3</v>
      </c>
      <c r="J133" s="435">
        <f t="shared" si="59"/>
        <v>1.4183018961213474E-2</v>
      </c>
      <c r="K133" s="435">
        <f t="shared" si="59"/>
        <v>9.3575534129508673E-3</v>
      </c>
    </row>
    <row r="134" spans="1:11">
      <c r="A134" s="1092"/>
      <c r="B134" s="435">
        <f t="shared" ref="B134:K134" si="60">+(B93-B$52)/B$52</f>
        <v>1.4064804577862655E-2</v>
      </c>
      <c r="C134" s="435">
        <f t="shared" si="60"/>
        <v>1.9192147789191719E-2</v>
      </c>
      <c r="D134" s="435">
        <f t="shared" si="60"/>
        <v>1.4424989691310489E-2</v>
      </c>
      <c r="E134" s="435">
        <f t="shared" si="60"/>
        <v>1.882849910108942E-2</v>
      </c>
      <c r="F134" s="435">
        <f t="shared" si="60"/>
        <v>1.3984798173955355E-2</v>
      </c>
      <c r="G134" s="435">
        <f t="shared" si="60"/>
        <v>1.904775367484857E-2</v>
      </c>
      <c r="H134" s="435">
        <f t="shared" si="60"/>
        <v>8.9630370082720116E-3</v>
      </c>
      <c r="I134" s="435">
        <f t="shared" si="60"/>
        <v>9.1132064333041014E-3</v>
      </c>
      <c r="J134" s="435">
        <f t="shared" si="60"/>
        <v>1.4183018961213474E-2</v>
      </c>
      <c r="K134" s="435">
        <f t="shared" si="60"/>
        <v>9.3575534129508673E-3</v>
      </c>
    </row>
    <row r="135" spans="1:11">
      <c r="A135" s="1092"/>
      <c r="B135" s="435">
        <f t="shared" ref="B135:K135" si="61">+(B94-B$52)/B$52</f>
        <v>1.4064804577862655E-2</v>
      </c>
      <c r="C135" s="435">
        <f t="shared" si="61"/>
        <v>1.9192147789191719E-2</v>
      </c>
      <c r="D135" s="435">
        <f t="shared" si="61"/>
        <v>1.4424989691310489E-2</v>
      </c>
      <c r="E135" s="435">
        <f t="shared" si="61"/>
        <v>1.882849910108942E-2</v>
      </c>
      <c r="F135" s="435">
        <f t="shared" si="61"/>
        <v>1.3984798173955355E-2</v>
      </c>
      <c r="G135" s="435">
        <f t="shared" si="61"/>
        <v>1.904775367484857E-2</v>
      </c>
      <c r="H135" s="435">
        <f t="shared" si="61"/>
        <v>8.9630370082720116E-3</v>
      </c>
      <c r="I135" s="435">
        <f t="shared" si="61"/>
        <v>9.1132064333041014E-3</v>
      </c>
      <c r="J135" s="435">
        <f t="shared" si="61"/>
        <v>1.4183018961213474E-2</v>
      </c>
      <c r="K135" s="435">
        <f t="shared" si="61"/>
        <v>9.3575534129508673E-3</v>
      </c>
    </row>
    <row r="136" spans="1:11">
      <c r="A136" s="1092"/>
      <c r="B136" s="435">
        <f t="shared" ref="B136:K136" si="62">+(B95-B$52)/B$52</f>
        <v>1.4064804577862655E-2</v>
      </c>
      <c r="C136" s="435">
        <f t="shared" si="62"/>
        <v>1.9192147789191719E-2</v>
      </c>
      <c r="D136" s="435">
        <f t="shared" si="62"/>
        <v>1.4424989691310489E-2</v>
      </c>
      <c r="E136" s="435">
        <f t="shared" si="62"/>
        <v>1.882849910108942E-2</v>
      </c>
      <c r="F136" s="435">
        <f t="shared" si="62"/>
        <v>1.3984798173955355E-2</v>
      </c>
      <c r="G136" s="435">
        <f t="shared" si="62"/>
        <v>1.904775367484857E-2</v>
      </c>
      <c r="H136" s="435">
        <f t="shared" si="62"/>
        <v>8.9630370082720116E-3</v>
      </c>
      <c r="I136" s="435">
        <f t="shared" si="62"/>
        <v>2.8803220217368631E-2</v>
      </c>
      <c r="J136" s="435">
        <f t="shared" si="62"/>
        <v>1.4183018961213474E-2</v>
      </c>
      <c r="K136" s="435">
        <f t="shared" si="62"/>
        <v>2.4128639560457538E-2</v>
      </c>
    </row>
    <row r="137" spans="1:11">
      <c r="A137" s="1092"/>
      <c r="B137" s="435">
        <f t="shared" ref="B137:K137" si="63">+(B96-B$52)/B$52</f>
        <v>2.3910093942696366E-2</v>
      </c>
      <c r="C137" s="435">
        <f t="shared" si="63"/>
        <v>2.4115781353390823E-2</v>
      </c>
      <c r="D137" s="435">
        <f t="shared" si="63"/>
        <v>2.9198169152834505E-2</v>
      </c>
      <c r="E137" s="435">
        <f t="shared" si="63"/>
        <v>2.375037590834117E-2</v>
      </c>
      <c r="F137" s="435">
        <f t="shared" si="63"/>
        <v>2.8751567079401383E-2</v>
      </c>
      <c r="G137" s="435">
        <f t="shared" si="63"/>
        <v>2.8893625691030773E-2</v>
      </c>
      <c r="H137" s="435">
        <f t="shared" si="63"/>
        <v>2.3728349744978505E-2</v>
      </c>
      <c r="I137" s="435">
        <f t="shared" si="63"/>
        <v>2.8803220217368631E-2</v>
      </c>
      <c r="J137" s="435">
        <f t="shared" si="63"/>
        <v>2.40294560385069E-2</v>
      </c>
      <c r="K137" s="435">
        <f t="shared" si="63"/>
        <v>2.4128639560457538E-2</v>
      </c>
    </row>
    <row r="138" spans="1:11">
      <c r="A138" s="1092"/>
      <c r="B138" s="435">
        <f t="shared" ref="B138:K138" si="64">+(B97-B$52)/B$52</f>
        <v>2.3910093942696366E-2</v>
      </c>
      <c r="C138" s="435">
        <f t="shared" si="64"/>
        <v>2.4115781353390823E-2</v>
      </c>
      <c r="D138" s="435">
        <f t="shared" si="64"/>
        <v>2.9198169152834505E-2</v>
      </c>
      <c r="E138" s="435">
        <f t="shared" si="64"/>
        <v>2.375037590834117E-2</v>
      </c>
      <c r="F138" s="435">
        <f t="shared" si="64"/>
        <v>2.8751567079401383E-2</v>
      </c>
      <c r="G138" s="435">
        <f t="shared" si="64"/>
        <v>2.8893625691030773E-2</v>
      </c>
      <c r="H138" s="435">
        <f t="shared" si="64"/>
        <v>2.3728349744978505E-2</v>
      </c>
      <c r="I138" s="435">
        <f t="shared" si="64"/>
        <v>2.8803220217368631E-2</v>
      </c>
      <c r="J138" s="435">
        <f t="shared" si="64"/>
        <v>2.40294560385069E-2</v>
      </c>
      <c r="K138" s="435">
        <f t="shared" si="64"/>
        <v>2.4128639560457538E-2</v>
      </c>
    </row>
    <row r="139" spans="1:11">
      <c r="A139" s="1092"/>
      <c r="B139" s="435">
        <f t="shared" ref="B139:K139" si="65">+(B98-B$52)/B$52</f>
        <v>2.3910093942696366E-2</v>
      </c>
      <c r="C139" s="435">
        <f t="shared" si="65"/>
        <v>2.4115781353390823E-2</v>
      </c>
      <c r="D139" s="435">
        <f t="shared" si="65"/>
        <v>2.9198169152834505E-2</v>
      </c>
      <c r="E139" s="435">
        <f t="shared" si="65"/>
        <v>2.375037590834117E-2</v>
      </c>
      <c r="F139" s="435">
        <f t="shared" si="65"/>
        <v>2.8751567079401383E-2</v>
      </c>
      <c r="G139" s="435">
        <f t="shared" si="65"/>
        <v>2.8893625691030773E-2</v>
      </c>
      <c r="H139" s="435">
        <f t="shared" si="65"/>
        <v>2.3728349744978505E-2</v>
      </c>
      <c r="I139" s="435">
        <f t="shared" si="65"/>
        <v>2.8803220217368631E-2</v>
      </c>
      <c r="J139" s="435">
        <f t="shared" si="65"/>
        <v>2.40294560385069E-2</v>
      </c>
      <c r="K139" s="435">
        <f t="shared" si="65"/>
        <v>2.4128639560457538E-2</v>
      </c>
    </row>
    <row r="140" spans="1:11">
      <c r="B140" s="435"/>
    </row>
    <row r="141" spans="1:11">
      <c r="B141" s="435"/>
    </row>
    <row r="142" spans="1:11">
      <c r="B142" s="435"/>
    </row>
    <row r="143" spans="1:11">
      <c r="B143" s="435"/>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sheetData>
  <mergeCells count="18">
    <mergeCell ref="O7:O8"/>
    <mergeCell ref="P7:P8"/>
    <mergeCell ref="Q7:Q8"/>
    <mergeCell ref="E1:G1"/>
    <mergeCell ref="O2:Q2"/>
    <mergeCell ref="P3:P4"/>
    <mergeCell ref="Q3:Q4"/>
    <mergeCell ref="A1:B1"/>
    <mergeCell ref="H1:J1"/>
    <mergeCell ref="H2:I2"/>
    <mergeCell ref="H3:I3"/>
    <mergeCell ref="O3:O4"/>
    <mergeCell ref="A7:A22"/>
    <mergeCell ref="A24:A39"/>
    <mergeCell ref="A103:A118"/>
    <mergeCell ref="A124:A139"/>
    <mergeCell ref="E2:F2"/>
    <mergeCell ref="E3:F3"/>
  </mergeCells>
  <phoneticPr fontId="86" type="noConversion"/>
  <pageMargins left="0.75" right="0.75" top="1" bottom="1" header="0.5" footer="0.5"/>
  <pageSetup orientation="portrait" horizontalDpi="4294967293"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Sheet6">
    <tabColor indexed="53"/>
  </sheetPr>
  <dimension ref="B1:F24"/>
  <sheetViews>
    <sheetView topLeftCell="A13" workbookViewId="0">
      <selection activeCell="C14" sqref="C14"/>
    </sheetView>
  </sheetViews>
  <sheetFormatPr defaultColWidth="9.140625" defaultRowHeight="12.75"/>
  <cols>
    <col min="1" max="1" width="3" style="201" customWidth="1"/>
    <col min="2" max="2" width="11" style="202" customWidth="1"/>
    <col min="3" max="3" width="14.42578125" style="202" bestFit="1" customWidth="1"/>
    <col min="4" max="4" width="100.5703125" style="201" customWidth="1"/>
    <col min="5" max="16384" width="9.140625" style="201"/>
  </cols>
  <sheetData>
    <row r="1" spans="2:6" ht="13.5" thickBot="1"/>
    <row r="2" spans="2:6" ht="27.75" customHeight="1" thickBot="1">
      <c r="B2" s="780" t="s">
        <v>123</v>
      </c>
      <c r="C2" s="781"/>
      <c r="D2" s="782"/>
      <c r="F2" s="203"/>
    </row>
    <row r="3" spans="2:6" ht="13.5" thickBot="1"/>
    <row r="4" spans="2:6" s="204" customFormat="1" ht="16.5" customHeight="1">
      <c r="B4" s="783" t="s">
        <v>124</v>
      </c>
      <c r="C4" s="784"/>
      <c r="D4" s="785"/>
    </row>
    <row r="5" spans="2:6" s="208" customFormat="1">
      <c r="B5" s="205"/>
      <c r="C5" s="206"/>
      <c r="D5" s="207"/>
    </row>
    <row r="6" spans="2:6" s="212" customFormat="1" ht="15">
      <c r="B6" s="209" t="s">
        <v>125</v>
      </c>
      <c r="C6" s="210" t="s">
        <v>126</v>
      </c>
      <c r="D6" s="211" t="s">
        <v>127</v>
      </c>
    </row>
    <row r="7" spans="2:6" ht="15" customHeight="1">
      <c r="B7" s="746">
        <v>0.5</v>
      </c>
      <c r="C7" s="214"/>
      <c r="D7" s="215" t="s">
        <v>513</v>
      </c>
    </row>
    <row r="8" spans="2:6" ht="13.15" customHeight="1">
      <c r="B8" s="746">
        <v>0.6</v>
      </c>
      <c r="C8" s="214">
        <v>41787</v>
      </c>
      <c r="D8" s="548" t="s">
        <v>413</v>
      </c>
    </row>
    <row r="9" spans="2:6" ht="33.75">
      <c r="B9" s="746">
        <v>0.7</v>
      </c>
      <c r="C9" s="214">
        <v>41815</v>
      </c>
      <c r="D9" s="551" t="s">
        <v>415</v>
      </c>
    </row>
    <row r="10" spans="2:6" ht="118.15" customHeight="1">
      <c r="B10" s="746">
        <v>0.8</v>
      </c>
      <c r="C10" s="490">
        <v>42017</v>
      </c>
      <c r="D10" s="553" t="s">
        <v>463</v>
      </c>
    </row>
    <row r="11" spans="2:6" ht="56.25">
      <c r="B11" s="746">
        <v>0.9</v>
      </c>
      <c r="C11" s="214">
        <v>42034</v>
      </c>
      <c r="D11" s="292" t="s">
        <v>494</v>
      </c>
    </row>
    <row r="12" spans="2:6" ht="56.25">
      <c r="B12" s="746">
        <v>1</v>
      </c>
      <c r="C12" s="214">
        <v>42206</v>
      </c>
      <c r="D12" s="292" t="s">
        <v>512</v>
      </c>
    </row>
    <row r="13" spans="2:6" ht="90">
      <c r="B13" s="746">
        <v>1.1000000000000001</v>
      </c>
      <c r="C13" s="214">
        <v>43003</v>
      </c>
      <c r="D13" s="292" t="s">
        <v>532</v>
      </c>
    </row>
    <row r="14" spans="2:6" ht="112.5">
      <c r="B14" s="213">
        <v>1.2</v>
      </c>
      <c r="C14" s="214" t="s">
        <v>534</v>
      </c>
      <c r="D14" s="292" t="s">
        <v>538</v>
      </c>
    </row>
    <row r="15" spans="2:6" ht="12.75" customHeight="1">
      <c r="B15" s="213"/>
      <c r="C15" s="214"/>
      <c r="D15" s="292"/>
    </row>
    <row r="16" spans="2:6" ht="12.75" customHeight="1">
      <c r="B16" s="213"/>
      <c r="C16" s="214"/>
      <c r="D16" s="292"/>
    </row>
    <row r="17" spans="2:4" ht="12.75" customHeight="1">
      <c r="B17" s="213"/>
      <c r="C17" s="214"/>
      <c r="D17" s="292"/>
    </row>
    <row r="18" spans="2:4" ht="12.75" customHeight="1">
      <c r="B18" s="213"/>
      <c r="C18" s="214"/>
      <c r="D18" s="215"/>
    </row>
    <row r="19" spans="2:4" ht="12.75" customHeight="1">
      <c r="B19" s="213"/>
      <c r="C19" s="214"/>
      <c r="D19" s="216"/>
    </row>
    <row r="20" spans="2:4" ht="12.75" customHeight="1">
      <c r="B20" s="213"/>
      <c r="C20" s="214"/>
      <c r="D20" s="215"/>
    </row>
    <row r="21" spans="2:4" ht="12.75" customHeight="1">
      <c r="B21" s="213"/>
      <c r="C21" s="214"/>
      <c r="D21" s="215"/>
    </row>
    <row r="22" spans="2:4" ht="12.75" customHeight="1">
      <c r="B22" s="213"/>
      <c r="C22" s="214"/>
      <c r="D22" s="215"/>
    </row>
    <row r="23" spans="2:4" ht="12.75" customHeight="1">
      <c r="B23" s="213"/>
      <c r="C23" s="214"/>
      <c r="D23" s="215"/>
    </row>
    <row r="24" spans="2:4" ht="15" customHeight="1" thickBot="1">
      <c r="B24" s="217"/>
      <c r="C24" s="218"/>
      <c r="D24" s="219"/>
    </row>
  </sheetData>
  <mergeCells count="2">
    <mergeCell ref="B2:D2"/>
    <mergeCell ref="B4:D4"/>
  </mergeCells>
  <phoneticPr fontId="86"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2">
    <tabColor rgb="FF92D050"/>
  </sheetPr>
  <dimension ref="A1:O211"/>
  <sheetViews>
    <sheetView topLeftCell="A22" zoomScaleNormal="100" workbookViewId="0">
      <selection activeCell="D32" sqref="D32"/>
    </sheetView>
  </sheetViews>
  <sheetFormatPr defaultRowHeight="12.75"/>
  <cols>
    <col min="1" max="1" width="2.42578125" style="663" customWidth="1"/>
    <col min="2" max="2" width="52.28515625" customWidth="1"/>
    <col min="3" max="3" width="25.28515625" bestFit="1" customWidth="1"/>
    <col min="4" max="4" width="9.28515625" style="13" bestFit="1" customWidth="1"/>
    <col min="5" max="5" width="9.140625" style="14" customWidth="1"/>
    <col min="6" max="6" width="2.42578125" style="44" customWidth="1"/>
    <col min="7" max="7" width="7.42578125" style="44" customWidth="1"/>
    <col min="8" max="8" width="8.42578125" style="44" customWidth="1"/>
    <col min="9" max="12" width="9.140625" style="44" customWidth="1"/>
    <col min="15" max="15" width="23.5703125" customWidth="1"/>
  </cols>
  <sheetData>
    <row r="1" spans="1:15" ht="12.75" customHeight="1">
      <c r="B1" s="814" t="s">
        <v>0</v>
      </c>
      <c r="C1" s="815"/>
      <c r="D1" s="815"/>
      <c r="E1" s="815"/>
      <c r="F1" s="69"/>
      <c r="G1" s="69"/>
      <c r="H1" s="69"/>
      <c r="J1" s="69"/>
      <c r="K1" s="69"/>
      <c r="L1" s="69"/>
    </row>
    <row r="2" spans="1:15" ht="12.75" customHeight="1">
      <c r="A2" s="557" t="s">
        <v>401</v>
      </c>
      <c r="B2" s="814"/>
      <c r="C2" s="815"/>
      <c r="D2" s="815"/>
      <c r="E2" s="815"/>
      <c r="F2" s="69"/>
      <c r="H2" s="69"/>
      <c r="J2" s="69"/>
      <c r="K2" s="69"/>
      <c r="L2" s="69"/>
      <c r="O2" s="44"/>
    </row>
    <row r="3" spans="1:15" s="80" customFormat="1" ht="12.75" customHeight="1">
      <c r="A3" s="557" t="s">
        <v>400</v>
      </c>
      <c r="B3" s="142"/>
      <c r="C3" s="142"/>
      <c r="D3" s="142"/>
      <c r="E3" s="142"/>
      <c r="F3" s="143"/>
      <c r="G3" s="144"/>
      <c r="H3" s="143"/>
      <c r="J3" s="143"/>
      <c r="K3" s="143"/>
      <c r="L3" s="143"/>
      <c r="O3" s="144"/>
    </row>
    <row r="4" spans="1:15" s="80" customFormat="1" ht="12.75" customHeight="1">
      <c r="A4" s="558" t="s">
        <v>402</v>
      </c>
      <c r="B4" s="816" t="s">
        <v>86</v>
      </c>
      <c r="C4" s="817"/>
      <c r="D4" s="818" t="s">
        <v>511</v>
      </c>
      <c r="E4" s="818"/>
      <c r="F4" s="143"/>
      <c r="G4" s="144"/>
      <c r="H4" s="143"/>
      <c r="I4" s="143"/>
      <c r="J4" s="143"/>
      <c r="L4" s="143"/>
      <c r="N4" s="143"/>
      <c r="O4" s="144"/>
    </row>
    <row r="5" spans="1:15" s="80" customFormat="1" ht="12.75" customHeight="1">
      <c r="A5" s="559" t="s">
        <v>403</v>
      </c>
      <c r="B5" s="313"/>
      <c r="C5" s="313"/>
      <c r="D5"/>
      <c r="E5"/>
      <c r="F5" s="143"/>
      <c r="G5" s="144"/>
      <c r="H5" s="143"/>
      <c r="I5" s="143"/>
      <c r="J5" s="143"/>
      <c r="L5" s="143"/>
      <c r="N5" s="143"/>
      <c r="O5" s="144"/>
    </row>
    <row r="6" spans="1:15" s="80" customFormat="1" ht="12.75" customHeight="1">
      <c r="A6" s="557"/>
      <c r="B6" s="816" t="s">
        <v>404</v>
      </c>
      <c r="C6" s="816"/>
      <c r="D6" s="819" t="s">
        <v>402</v>
      </c>
      <c r="E6" s="820"/>
      <c r="F6" s="143"/>
      <c r="G6" s="144"/>
      <c r="H6" s="143"/>
      <c r="I6" s="143"/>
      <c r="J6" s="143"/>
      <c r="L6" s="143"/>
      <c r="N6" s="143"/>
      <c r="O6" s="144"/>
    </row>
    <row r="7" spans="1:15" s="80" customFormat="1" ht="12.75" customHeight="1">
      <c r="A7" s="557"/>
      <c r="B7" s="313"/>
      <c r="C7" s="313"/>
      <c r="D7"/>
      <c r="E7"/>
      <c r="F7" s="143"/>
      <c r="G7" s="144"/>
      <c r="H7" s="143"/>
      <c r="I7" s="143"/>
      <c r="J7" s="143"/>
      <c r="L7" s="143"/>
      <c r="N7" s="143"/>
      <c r="O7" s="144"/>
    </row>
    <row r="8" spans="1:15" s="80" customFormat="1" ht="12.75" customHeight="1">
      <c r="A8" s="557"/>
      <c r="B8" s="313"/>
      <c r="C8" s="313" t="s">
        <v>410</v>
      </c>
      <c r="D8"/>
      <c r="E8"/>
      <c r="F8" s="143"/>
      <c r="G8" s="144"/>
      <c r="H8" s="143"/>
      <c r="I8" s="143"/>
      <c r="J8" s="143"/>
      <c r="L8" s="143"/>
      <c r="N8" s="143"/>
      <c r="O8" s="144"/>
    </row>
    <row r="9" spans="1:15" s="80" customFormat="1" ht="12.75" customHeight="1">
      <c r="A9" s="557"/>
      <c r="B9" s="313"/>
      <c r="C9" s="313"/>
      <c r="D9"/>
      <c r="E9"/>
      <c r="F9" s="143"/>
      <c r="G9" s="144"/>
      <c r="H9" s="143"/>
      <c r="I9" s="143"/>
      <c r="J9" s="143"/>
      <c r="L9" s="143"/>
      <c r="N9" s="143"/>
      <c r="O9" s="144"/>
    </row>
    <row r="10" spans="1:15" s="80" customFormat="1" ht="12.75" customHeight="1">
      <c r="A10" s="560"/>
      <c r="B10" s="813" t="s">
        <v>321</v>
      </c>
      <c r="C10" s="813"/>
      <c r="D10" s="491" t="s">
        <v>392</v>
      </c>
      <c r="E10"/>
      <c r="F10" s="143"/>
      <c r="G10" s="144"/>
      <c r="H10" s="143"/>
      <c r="I10" s="143"/>
      <c r="J10" s="143"/>
      <c r="L10" s="143"/>
      <c r="N10" s="143"/>
      <c r="O10" s="144"/>
    </row>
    <row r="11" spans="1:15">
      <c r="A11" s="558" t="s">
        <v>392</v>
      </c>
      <c r="B11" s="5"/>
      <c r="C11" s="5"/>
      <c r="D11"/>
      <c r="E11" s="15"/>
      <c r="F11" s="41"/>
      <c r="G11" s="41"/>
      <c r="H11"/>
      <c r="I11"/>
      <c r="J11"/>
      <c r="K11"/>
      <c r="L11"/>
      <c r="N11" s="44"/>
    </row>
    <row r="12" spans="1:15" ht="15.75" customHeight="1">
      <c r="A12" s="557"/>
      <c r="B12" s="821" t="s">
        <v>293</v>
      </c>
      <c r="C12" s="821"/>
      <c r="D12" s="371">
        <v>81</v>
      </c>
      <c r="E12" s="372" t="s">
        <v>295</v>
      </c>
      <c r="F12"/>
      <c r="G12"/>
      <c r="H12"/>
      <c r="I12"/>
      <c r="J12"/>
      <c r="K12"/>
      <c r="L12"/>
    </row>
    <row r="13" spans="1:15" ht="12.75" customHeight="1">
      <c r="A13" s="557"/>
      <c r="D13"/>
      <c r="E13" s="373"/>
      <c r="F13"/>
      <c r="G13"/>
      <c r="H13"/>
      <c r="I13"/>
      <c r="J13"/>
      <c r="K13"/>
      <c r="L13"/>
    </row>
    <row r="14" spans="1:15" ht="16.5" customHeight="1">
      <c r="A14" s="557"/>
      <c r="B14" s="821" t="s">
        <v>294</v>
      </c>
      <c r="C14" s="821"/>
      <c r="D14" s="400">
        <v>46</v>
      </c>
      <c r="E14" s="372" t="s">
        <v>295</v>
      </c>
      <c r="F14"/>
      <c r="G14"/>
      <c r="H14"/>
      <c r="I14"/>
      <c r="J14"/>
      <c r="K14"/>
      <c r="L14"/>
    </row>
    <row r="15" spans="1:15" ht="13.5" customHeight="1">
      <c r="A15" s="561" t="s">
        <v>234</v>
      </c>
      <c r="D15"/>
      <c r="E15"/>
      <c r="F15"/>
      <c r="G15"/>
      <c r="H15"/>
      <c r="I15"/>
      <c r="J15"/>
      <c r="K15"/>
      <c r="L15"/>
    </row>
    <row r="16" spans="1:15" ht="13.5" customHeight="1">
      <c r="A16" s="561" t="s">
        <v>120</v>
      </c>
      <c r="B16" s="812" t="s">
        <v>333</v>
      </c>
      <c r="C16" s="812"/>
      <c r="D16" s="425">
        <v>2</v>
      </c>
      <c r="E16"/>
      <c r="F16"/>
      <c r="G16"/>
      <c r="H16"/>
      <c r="I16"/>
      <c r="J16"/>
      <c r="K16"/>
      <c r="L16"/>
    </row>
    <row r="17" spans="1:14" ht="13.5" customHeight="1">
      <c r="A17" s="557"/>
      <c r="D17"/>
      <c r="E17"/>
      <c r="F17"/>
      <c r="G17"/>
      <c r="H17"/>
      <c r="I17"/>
      <c r="J17"/>
      <c r="K17"/>
      <c r="L17"/>
    </row>
    <row r="18" spans="1:14" ht="13.5" customHeight="1" thickBot="1">
      <c r="A18" s="557" t="s">
        <v>398</v>
      </c>
      <c r="B18" s="812" t="s">
        <v>439</v>
      </c>
      <c r="C18" s="812"/>
      <c r="D18" s="425">
        <v>7</v>
      </c>
      <c r="E18" s="120" t="s">
        <v>8</v>
      </c>
      <c r="F18"/>
      <c r="G18"/>
      <c r="H18"/>
      <c r="I18"/>
      <c r="J18"/>
      <c r="K18"/>
      <c r="L18"/>
    </row>
    <row r="19" spans="1:14" ht="13.5" customHeight="1" thickBot="1">
      <c r="A19" s="557">
        <v>7</v>
      </c>
      <c r="D19"/>
      <c r="E19"/>
      <c r="F19"/>
      <c r="G19"/>
      <c r="H19"/>
      <c r="I19"/>
      <c r="J19"/>
      <c r="K19"/>
      <c r="L19"/>
    </row>
    <row r="20" spans="1:14" ht="13.5" customHeight="1">
      <c r="A20" s="557"/>
      <c r="B20" s="801" t="s">
        <v>236</v>
      </c>
      <c r="C20" s="802"/>
      <c r="D20" s="802"/>
      <c r="E20" s="802"/>
      <c r="F20" s="802"/>
      <c r="G20" s="802"/>
      <c r="H20" s="802"/>
      <c r="I20" s="803"/>
      <c r="J20"/>
    </row>
    <row r="21" spans="1:14" ht="13.5" customHeight="1">
      <c r="A21" s="557"/>
      <c r="B21" s="804"/>
      <c r="C21" s="805"/>
      <c r="D21" s="805"/>
      <c r="E21" s="805"/>
      <c r="F21" s="805"/>
      <c r="G21" s="805"/>
      <c r="H21" s="805"/>
      <c r="I21" s="806"/>
      <c r="J21"/>
      <c r="K21"/>
      <c r="L21"/>
    </row>
    <row r="22" spans="1:14" ht="13.5" customHeight="1">
      <c r="A22" s="557" t="s">
        <v>397</v>
      </c>
      <c r="B22" s="804"/>
      <c r="C22" s="805"/>
      <c r="D22" s="805"/>
      <c r="E22" s="805"/>
      <c r="F22" s="805"/>
      <c r="G22" s="805"/>
      <c r="H22" s="805"/>
      <c r="I22" s="806"/>
      <c r="J22"/>
      <c r="K22"/>
      <c r="L22"/>
    </row>
    <row r="23" spans="1:14" ht="13.5" customHeight="1">
      <c r="A23" s="557">
        <v>1</v>
      </c>
      <c r="B23" s="804"/>
      <c r="C23" s="805"/>
      <c r="D23" s="805"/>
      <c r="E23" s="805"/>
      <c r="F23" s="805"/>
      <c r="G23" s="805"/>
      <c r="H23" s="805"/>
      <c r="I23" s="806"/>
      <c r="J23"/>
      <c r="K23"/>
      <c r="L23"/>
    </row>
    <row r="24" spans="1:14" ht="13.5" customHeight="1">
      <c r="A24" s="557">
        <v>2</v>
      </c>
      <c r="B24" s="804"/>
      <c r="C24" s="805"/>
      <c r="D24" s="805"/>
      <c r="E24" s="805"/>
      <c r="F24" s="805"/>
      <c r="G24" s="805"/>
      <c r="H24" s="805"/>
      <c r="I24" s="806"/>
      <c r="J24"/>
      <c r="K24"/>
      <c r="L24"/>
    </row>
    <row r="25" spans="1:14" ht="13.5" customHeight="1">
      <c r="A25" s="557">
        <v>3</v>
      </c>
      <c r="B25" s="804"/>
      <c r="C25" s="805"/>
      <c r="D25" s="805"/>
      <c r="E25" s="805"/>
      <c r="F25" s="805"/>
      <c r="G25" s="805"/>
      <c r="H25" s="805"/>
      <c r="I25" s="806"/>
      <c r="J25"/>
      <c r="K25"/>
      <c r="L25"/>
    </row>
    <row r="26" spans="1:14" ht="13.5" customHeight="1" thickBot="1">
      <c r="A26" s="557">
        <v>4</v>
      </c>
      <c r="B26" s="807"/>
      <c r="C26" s="808"/>
      <c r="D26" s="808"/>
      <c r="E26" s="808"/>
      <c r="F26" s="808"/>
      <c r="G26" s="808"/>
      <c r="H26" s="808"/>
      <c r="I26" s="809"/>
      <c r="J26" s="396"/>
      <c r="L26" s="446"/>
    </row>
    <row r="27" spans="1:14" ht="13.5" customHeight="1" thickBot="1">
      <c r="A27" s="557"/>
      <c r="D27"/>
      <c r="E27"/>
      <c r="F27"/>
      <c r="G27"/>
      <c r="H27"/>
      <c r="I27"/>
      <c r="J27"/>
      <c r="K27"/>
      <c r="L27"/>
    </row>
    <row r="28" spans="1:14" ht="13.5" customHeight="1" thickBot="1">
      <c r="A28" s="557" t="s">
        <v>485</v>
      </c>
      <c r="B28" s="786" t="s">
        <v>233</v>
      </c>
      <c r="C28" s="787"/>
      <c r="D28" s="787"/>
      <c r="E28" s="787"/>
      <c r="F28" s="788"/>
      <c r="G28" s="810" t="s">
        <v>120</v>
      </c>
      <c r="H28" s="811"/>
      <c r="L28"/>
    </row>
    <row r="29" spans="1:14" ht="13.5" thickBot="1">
      <c r="A29" s="558" t="s">
        <v>511</v>
      </c>
      <c r="B29" s="1"/>
      <c r="C29" s="1"/>
      <c r="D29" s="2"/>
      <c r="E29" s="15"/>
      <c r="F29" s="43"/>
      <c r="N29" s="44"/>
    </row>
    <row r="30" spans="1:14" ht="13.5" thickBot="1">
      <c r="A30" s="558" t="s">
        <v>486</v>
      </c>
      <c r="B30" s="798" t="s">
        <v>11</v>
      </c>
      <c r="C30" s="799"/>
      <c r="D30" s="799"/>
      <c r="E30" s="800"/>
      <c r="F30" s="41"/>
      <c r="G30" s="43"/>
      <c r="N30" s="70"/>
    </row>
    <row r="31" spans="1:14" ht="13.5" thickBot="1">
      <c r="A31" s="558" t="s">
        <v>489</v>
      </c>
      <c r="B31" s="11" t="s">
        <v>87</v>
      </c>
      <c r="C31" s="8" t="s">
        <v>1</v>
      </c>
      <c r="D31" s="8" t="s">
        <v>2</v>
      </c>
      <c r="E31" s="12" t="s">
        <v>3</v>
      </c>
      <c r="F31" s="41"/>
      <c r="G31" s="43"/>
      <c r="N31" s="143"/>
    </row>
    <row r="32" spans="1:14" ht="12.75" customHeight="1">
      <c r="A32" s="558" t="s">
        <v>487</v>
      </c>
      <c r="B32" s="4" t="s">
        <v>199</v>
      </c>
      <c r="C32" s="5" t="s">
        <v>200</v>
      </c>
      <c r="D32" s="22">
        <v>1.8</v>
      </c>
      <c r="E32" s="16" t="s">
        <v>4</v>
      </c>
      <c r="F32" s="41"/>
      <c r="G32" s="41"/>
      <c r="H32" s="789" t="s">
        <v>406</v>
      </c>
      <c r="I32" s="790"/>
      <c r="J32" s="790"/>
      <c r="K32" s="790"/>
      <c r="L32" s="791"/>
      <c r="N32" s="44"/>
    </row>
    <row r="33" spans="1:14">
      <c r="A33" s="558" t="s">
        <v>488</v>
      </c>
      <c r="B33" s="4" t="s">
        <v>201</v>
      </c>
      <c r="C33" s="5" t="s">
        <v>39</v>
      </c>
      <c r="D33" s="22">
        <v>1.8</v>
      </c>
      <c r="E33" s="492" t="s">
        <v>4</v>
      </c>
      <c r="F33" s="41"/>
      <c r="G33" s="41"/>
      <c r="H33" s="792"/>
      <c r="I33" s="793"/>
      <c r="J33" s="793"/>
      <c r="K33" s="793"/>
      <c r="L33" s="794"/>
      <c r="N33" s="44"/>
    </row>
    <row r="34" spans="1:14" ht="13.15" customHeight="1">
      <c r="A34" s="558"/>
      <c r="B34" s="9" t="s">
        <v>431</v>
      </c>
      <c r="C34" s="5" t="s">
        <v>10</v>
      </c>
      <c r="D34" s="22">
        <v>70</v>
      </c>
      <c r="E34" s="492" t="s">
        <v>6</v>
      </c>
      <c r="F34" s="41"/>
      <c r="G34" s="41"/>
      <c r="H34" s="792"/>
      <c r="I34" s="793"/>
      <c r="J34" s="793"/>
      <c r="K34" s="793"/>
      <c r="L34" s="794"/>
      <c r="N34" s="70"/>
    </row>
    <row r="35" spans="1:14" ht="13.9" customHeight="1">
      <c r="A35" s="558"/>
      <c r="B35" s="285" t="s">
        <v>394</v>
      </c>
      <c r="C35" s="668" t="s">
        <v>434</v>
      </c>
      <c r="D35" s="22">
        <v>48</v>
      </c>
      <c r="E35" s="492" t="s">
        <v>6</v>
      </c>
      <c r="F35" s="41"/>
      <c r="G35" s="41"/>
      <c r="H35" s="792"/>
      <c r="I35" s="793"/>
      <c r="J35" s="793"/>
      <c r="K35" s="793"/>
      <c r="L35" s="794"/>
      <c r="N35" s="143"/>
    </row>
    <row r="36" spans="1:14" ht="13.9" customHeight="1">
      <c r="A36" s="558"/>
      <c r="B36" s="285" t="s">
        <v>516</v>
      </c>
      <c r="C36" s="668" t="s">
        <v>515</v>
      </c>
      <c r="D36" s="751">
        <v>15</v>
      </c>
      <c r="E36" s="605" t="s">
        <v>524</v>
      </c>
      <c r="F36" s="41"/>
      <c r="G36" s="41"/>
      <c r="H36" s="792"/>
      <c r="I36" s="793"/>
      <c r="J36" s="793"/>
      <c r="K36" s="793"/>
      <c r="L36" s="794"/>
      <c r="N36" s="143"/>
    </row>
    <row r="37" spans="1:14" ht="13.5" thickBot="1">
      <c r="A37" s="664"/>
      <c r="B37" s="6" t="s">
        <v>419</v>
      </c>
      <c r="C37" s="7" t="s">
        <v>417</v>
      </c>
      <c r="D37" s="669">
        <v>58</v>
      </c>
      <c r="E37" s="670" t="s">
        <v>6</v>
      </c>
      <c r="F37" s="41"/>
      <c r="G37" s="41"/>
      <c r="H37" s="792"/>
      <c r="I37" s="793"/>
      <c r="J37" s="793"/>
      <c r="K37" s="793"/>
      <c r="L37" s="794"/>
      <c r="N37" s="44"/>
    </row>
    <row r="38" spans="1:14" ht="13.5" thickBot="1">
      <c r="A38" s="664"/>
      <c r="B38" s="7"/>
      <c r="C38" s="5"/>
      <c r="D38" s="51"/>
      <c r="E38" s="15"/>
      <c r="G38" s="41"/>
      <c r="H38"/>
      <c r="I38"/>
      <c r="J38"/>
      <c r="K38"/>
      <c r="L38"/>
    </row>
    <row r="39" spans="1:14" ht="13.5" thickBot="1">
      <c r="A39" s="664"/>
      <c r="B39" s="11" t="s">
        <v>306</v>
      </c>
      <c r="C39" s="8" t="s">
        <v>1</v>
      </c>
      <c r="D39" s="8" t="s">
        <v>2</v>
      </c>
      <c r="E39" s="12" t="s">
        <v>3</v>
      </c>
      <c r="F39" s="152"/>
      <c r="G39" s="41"/>
      <c r="H39"/>
      <c r="I39"/>
      <c r="J39"/>
      <c r="K39"/>
      <c r="L39"/>
    </row>
    <row r="40" spans="1:14">
      <c r="A40" s="664"/>
      <c r="B40" s="4" t="str">
        <f>"V_TOB_IMin for VID of "&amp;VID_1&amp;" volts"</f>
        <v>V_TOB_IMin for VID of 0.9 volts</v>
      </c>
      <c r="C40" s="5" t="s">
        <v>206</v>
      </c>
      <c r="D40" s="129">
        <v>5</v>
      </c>
      <c r="E40" s="16" t="s">
        <v>5</v>
      </c>
      <c r="F40" s="152"/>
      <c r="G40" s="41"/>
      <c r="H40" s="789" t="s">
        <v>313</v>
      </c>
      <c r="I40" s="790"/>
      <c r="J40" s="790"/>
      <c r="K40" s="790"/>
      <c r="L40" s="791"/>
    </row>
    <row r="41" spans="1:14" ht="12.75" customHeight="1" thickBot="1">
      <c r="A41" s="664"/>
      <c r="B41" s="6" t="s">
        <v>131</v>
      </c>
      <c r="C41" s="7" t="s">
        <v>55</v>
      </c>
      <c r="D41" s="399">
        <v>0.75</v>
      </c>
      <c r="E41" s="120" t="s">
        <v>8</v>
      </c>
      <c r="F41" s="152"/>
      <c r="G41" s="41"/>
      <c r="H41" s="795"/>
      <c r="I41" s="796"/>
      <c r="J41" s="796"/>
      <c r="K41" s="796"/>
      <c r="L41" s="797"/>
    </row>
    <row r="42" spans="1:14" ht="13.5" thickBot="1">
      <c r="A42" s="664"/>
      <c r="B42" s="5"/>
      <c r="C42" s="5"/>
      <c r="D42" s="51"/>
      <c r="E42" s="15"/>
      <c r="F42" s="152"/>
      <c r="G42" s="41"/>
    </row>
    <row r="43" spans="1:14">
      <c r="A43" s="664"/>
      <c r="B43" s="11" t="s">
        <v>34</v>
      </c>
      <c r="C43" s="8" t="s">
        <v>1</v>
      </c>
      <c r="D43" s="8" t="s">
        <v>2</v>
      </c>
      <c r="E43" s="12" t="s">
        <v>3</v>
      </c>
      <c r="F43" s="152"/>
      <c r="G43" s="41"/>
    </row>
    <row r="44" spans="1:14">
      <c r="A44" s="664"/>
      <c r="B44" s="4" t="s">
        <v>241</v>
      </c>
      <c r="C44" s="5" t="s">
        <v>49</v>
      </c>
      <c r="D44" s="600">
        <v>0.9</v>
      </c>
      <c r="E44" s="492" t="s">
        <v>14</v>
      </c>
      <c r="F44" s="152"/>
      <c r="G44" s="41"/>
    </row>
    <row r="45" spans="1:14">
      <c r="A45" s="664"/>
      <c r="B45" s="4" t="s">
        <v>242</v>
      </c>
      <c r="C45" s="5" t="s">
        <v>41</v>
      </c>
      <c r="D45" s="600">
        <v>0.6</v>
      </c>
      <c r="E45" s="492" t="s">
        <v>14</v>
      </c>
      <c r="F45" s="152"/>
      <c r="G45" s="41"/>
    </row>
    <row r="46" spans="1:14" ht="14.25" customHeight="1">
      <c r="A46" s="664"/>
      <c r="B46" s="4" t="s">
        <v>243</v>
      </c>
      <c r="C46" s="5" t="s">
        <v>42</v>
      </c>
      <c r="D46" s="600">
        <v>0.3</v>
      </c>
      <c r="E46" s="492" t="s">
        <v>14</v>
      </c>
      <c r="F46" s="152"/>
      <c r="G46" s="41"/>
    </row>
    <row r="47" spans="1:14" ht="14.25" customHeight="1">
      <c r="A47" s="664"/>
      <c r="B47" s="4" t="s">
        <v>407</v>
      </c>
      <c r="C47" s="5" t="s">
        <v>207</v>
      </c>
      <c r="D47" s="52">
        <v>10</v>
      </c>
      <c r="E47" s="16" t="s">
        <v>6</v>
      </c>
      <c r="F47" s="41"/>
      <c r="G47" s="41"/>
      <c r="H47"/>
      <c r="I47"/>
      <c r="J47"/>
      <c r="K47"/>
      <c r="L47"/>
    </row>
    <row r="48" spans="1:14" ht="14.25" customHeight="1">
      <c r="A48" s="664"/>
      <c r="B48" s="4" t="s">
        <v>408</v>
      </c>
      <c r="C48" s="5" t="s">
        <v>208</v>
      </c>
      <c r="D48" s="52">
        <v>3</v>
      </c>
      <c r="E48" s="16" t="s">
        <v>6</v>
      </c>
      <c r="F48" s="41"/>
      <c r="G48" s="41"/>
    </row>
    <row r="49" spans="1:12" ht="13.5" thickBot="1">
      <c r="A49" s="664"/>
      <c r="B49" s="4" t="s">
        <v>409</v>
      </c>
      <c r="C49" s="5" t="s">
        <v>209</v>
      </c>
      <c r="D49" s="52">
        <v>1</v>
      </c>
      <c r="E49" s="16" t="s">
        <v>6</v>
      </c>
      <c r="F49" s="41"/>
      <c r="G49" s="41"/>
    </row>
    <row r="50" spans="1:12">
      <c r="A50" s="664"/>
      <c r="B50" s="4" t="str">
        <f>"TOB in PS0"</f>
        <v>TOB in PS0</v>
      </c>
      <c r="C50" s="5" t="s">
        <v>416</v>
      </c>
      <c r="D50" s="601">
        <v>20</v>
      </c>
      <c r="E50" s="492" t="s">
        <v>5</v>
      </c>
      <c r="F50" s="41"/>
      <c r="G50" s="41"/>
      <c r="H50" s="789" t="s">
        <v>405</v>
      </c>
      <c r="I50" s="790"/>
      <c r="J50" s="790"/>
      <c r="K50" s="790"/>
      <c r="L50" s="791"/>
    </row>
    <row r="51" spans="1:12">
      <c r="A51" s="664"/>
      <c r="B51" s="4" t="str">
        <f>"TOB in PS1"</f>
        <v>TOB in PS1</v>
      </c>
      <c r="C51" s="5" t="s">
        <v>186</v>
      </c>
      <c r="D51" s="601">
        <v>20</v>
      </c>
      <c r="E51" s="493" t="s">
        <v>5</v>
      </c>
      <c r="F51" s="41"/>
      <c r="G51" s="41"/>
      <c r="H51" s="792"/>
      <c r="I51" s="793"/>
      <c r="J51" s="793"/>
      <c r="K51" s="793"/>
      <c r="L51" s="794"/>
    </row>
    <row r="52" spans="1:12">
      <c r="A52" s="664"/>
      <c r="B52" s="4" t="str">
        <f>"TOB in PS2"</f>
        <v>TOB in PS2</v>
      </c>
      <c r="C52" s="5" t="s">
        <v>187</v>
      </c>
      <c r="D52" s="601">
        <v>20</v>
      </c>
      <c r="E52" s="494" t="s">
        <v>5</v>
      </c>
      <c r="F52" s="41"/>
      <c r="G52" s="41"/>
      <c r="H52" s="792"/>
      <c r="I52" s="793"/>
      <c r="J52" s="793"/>
      <c r="K52" s="793"/>
      <c r="L52" s="794"/>
    </row>
    <row r="53" spans="1:12">
      <c r="A53" s="664"/>
      <c r="B53" s="4" t="str">
        <f>"TOB in PS3"</f>
        <v>TOB in PS3</v>
      </c>
      <c r="C53" s="5" t="s">
        <v>205</v>
      </c>
      <c r="D53" s="601">
        <v>20</v>
      </c>
      <c r="E53" s="494" t="s">
        <v>5</v>
      </c>
      <c r="F53" s="41"/>
      <c r="G53" s="41"/>
      <c r="H53" s="792"/>
      <c r="I53" s="793"/>
      <c r="J53" s="793"/>
      <c r="K53" s="793"/>
      <c r="L53" s="794"/>
    </row>
    <row r="54" spans="1:12">
      <c r="A54" s="664"/>
      <c r="B54" s="4" t="s">
        <v>202</v>
      </c>
      <c r="C54" s="5" t="s">
        <v>185</v>
      </c>
      <c r="D54" s="600">
        <v>15</v>
      </c>
      <c r="E54" s="492" t="s">
        <v>22</v>
      </c>
      <c r="F54" s="152"/>
      <c r="G54" s="41"/>
      <c r="H54" s="792"/>
      <c r="I54" s="793"/>
      <c r="J54" s="793"/>
      <c r="K54" s="793"/>
      <c r="L54" s="794"/>
    </row>
    <row r="55" spans="1:12">
      <c r="A55" s="664"/>
      <c r="B55" s="4" t="s">
        <v>60</v>
      </c>
      <c r="C55" s="5" t="s">
        <v>95</v>
      </c>
      <c r="D55" s="600">
        <v>15</v>
      </c>
      <c r="E55" s="492" t="s">
        <v>22</v>
      </c>
      <c r="F55" s="152"/>
      <c r="G55" s="41"/>
      <c r="H55" s="792"/>
      <c r="I55" s="793"/>
      <c r="J55" s="793"/>
      <c r="K55" s="793"/>
      <c r="L55" s="794"/>
    </row>
    <row r="56" spans="1:12">
      <c r="A56" s="664"/>
      <c r="B56" s="285" t="s">
        <v>148</v>
      </c>
      <c r="C56" s="286" t="s">
        <v>150</v>
      </c>
      <c r="D56" s="600">
        <v>30</v>
      </c>
      <c r="E56" s="492" t="s">
        <v>22</v>
      </c>
      <c r="F56" s="41"/>
      <c r="G56" s="43"/>
      <c r="H56" s="792"/>
      <c r="I56" s="793"/>
      <c r="J56" s="793"/>
      <c r="K56" s="793"/>
      <c r="L56" s="794"/>
    </row>
    <row r="57" spans="1:12" ht="12.75" customHeight="1">
      <c r="A57" s="664"/>
      <c r="B57" s="285" t="s">
        <v>149</v>
      </c>
      <c r="C57" s="286" t="s">
        <v>151</v>
      </c>
      <c r="D57" s="600">
        <v>10</v>
      </c>
      <c r="E57" s="492" t="s">
        <v>22</v>
      </c>
      <c r="G57" s="43"/>
      <c r="H57" s="792"/>
      <c r="I57" s="793"/>
      <c r="J57" s="793"/>
      <c r="K57" s="793"/>
      <c r="L57" s="794"/>
    </row>
    <row r="58" spans="1:12" ht="12.75" customHeight="1">
      <c r="A58" s="664"/>
      <c r="B58" s="285" t="s">
        <v>203</v>
      </c>
      <c r="C58" s="286" t="s">
        <v>152</v>
      </c>
      <c r="D58" s="600">
        <v>30</v>
      </c>
      <c r="E58" s="492" t="s">
        <v>22</v>
      </c>
      <c r="F58" s="41"/>
      <c r="G58" s="41"/>
      <c r="H58" s="792"/>
      <c r="I58" s="793"/>
      <c r="J58" s="793"/>
      <c r="K58" s="793"/>
      <c r="L58" s="794"/>
    </row>
    <row r="59" spans="1:12" ht="12.75" customHeight="1" thickBot="1">
      <c r="A59" s="664"/>
      <c r="B59" s="285" t="s">
        <v>204</v>
      </c>
      <c r="C59" s="286" t="s">
        <v>153</v>
      </c>
      <c r="D59" s="602">
        <v>10</v>
      </c>
      <c r="E59" s="494" t="s">
        <v>22</v>
      </c>
      <c r="F59" s="41"/>
      <c r="G59"/>
      <c r="H59" s="792"/>
      <c r="I59" s="793"/>
      <c r="J59" s="793"/>
      <c r="K59" s="793"/>
      <c r="L59" s="794"/>
    </row>
    <row r="60" spans="1:12" ht="12.75" customHeight="1">
      <c r="A60" s="664"/>
      <c r="B60" s="413" t="s">
        <v>420</v>
      </c>
      <c r="C60" s="414" t="s">
        <v>418</v>
      </c>
      <c r="D60" s="500">
        <f>IF(Rail="vccIA",200,IF(Rail="VccSA",200,70))</f>
        <v>200</v>
      </c>
      <c r="E60" s="499" t="s">
        <v>5</v>
      </c>
      <c r="F60" s="41"/>
      <c r="G60" s="41"/>
      <c r="H60" s="792"/>
      <c r="I60" s="793"/>
      <c r="J60" s="793"/>
      <c r="K60" s="793"/>
      <c r="L60" s="794"/>
    </row>
    <row r="61" spans="1:12" ht="12.75" customHeight="1">
      <c r="A61" s="664"/>
      <c r="B61" s="4" t="s">
        <v>421</v>
      </c>
      <c r="C61" s="606" t="s">
        <v>437</v>
      </c>
      <c r="D61" s="604">
        <f>IF(Rail="vccIA",30,IF(Rail="VccSA",30,10))</f>
        <v>30</v>
      </c>
      <c r="E61" s="492" t="s">
        <v>7</v>
      </c>
      <c r="F61" s="41"/>
      <c r="G61"/>
      <c r="H61" s="792"/>
      <c r="I61" s="793"/>
      <c r="J61" s="793"/>
      <c r="K61" s="793"/>
      <c r="L61" s="794"/>
    </row>
    <row r="62" spans="1:12" ht="12.75" customHeight="1">
      <c r="A62" s="664"/>
      <c r="B62" s="4" t="s">
        <v>423</v>
      </c>
      <c r="C62" s="5" t="s">
        <v>436</v>
      </c>
      <c r="D62" s="604">
        <v>70</v>
      </c>
      <c r="E62" s="605" t="s">
        <v>5</v>
      </c>
      <c r="F62" s="41"/>
      <c r="H62" s="792"/>
      <c r="I62" s="793"/>
      <c r="J62" s="793"/>
      <c r="K62" s="793"/>
      <c r="L62" s="794"/>
    </row>
    <row r="63" spans="1:12" ht="12.75" customHeight="1" thickBot="1">
      <c r="A63" s="664"/>
      <c r="B63" s="6" t="s">
        <v>424</v>
      </c>
      <c r="C63" s="520" t="s">
        <v>438</v>
      </c>
      <c r="D63" s="501">
        <v>10</v>
      </c>
      <c r="E63" s="120" t="s">
        <v>7</v>
      </c>
      <c r="F63" s="41"/>
      <c r="H63" s="792"/>
      <c r="I63" s="793"/>
      <c r="J63" s="793"/>
      <c r="K63" s="793"/>
      <c r="L63" s="794"/>
    </row>
    <row r="64" spans="1:12" ht="12.75" customHeight="1" thickBot="1">
      <c r="A64" s="664"/>
      <c r="B64" s="413" t="s">
        <v>183</v>
      </c>
      <c r="C64" s="612" t="s">
        <v>450</v>
      </c>
      <c r="D64" s="495">
        <f>IF(Platform="S Line",150,IF(Rail="VccSA",200,65))</f>
        <v>65</v>
      </c>
      <c r="E64" s="610" t="s">
        <v>163</v>
      </c>
      <c r="F64" s="41"/>
      <c r="H64" s="795"/>
      <c r="I64" s="796"/>
      <c r="J64" s="796"/>
      <c r="K64" s="796"/>
      <c r="L64" s="797"/>
    </row>
    <row r="65" spans="1:12" ht="12.75" customHeight="1">
      <c r="A65" s="664"/>
      <c r="B65" s="4" t="str">
        <f>"TOB at ICCMax VID of "&amp;VID_1&amp;" in PS0"</f>
        <v>TOB at ICCMax VID of 0.9 in PS0</v>
      </c>
      <c r="C65" s="606" t="s">
        <v>393</v>
      </c>
      <c r="D65" s="52">
        <f>IF(V_TOB_IMAX_in_PS0&gt;3,V_TOB_IMAX_in_PS0,VID_1*V_TOB_IMAX_in_PS0*10)</f>
        <v>20</v>
      </c>
      <c r="E65" s="611" t="s">
        <v>5</v>
      </c>
      <c r="F65" s="41"/>
    </row>
    <row r="66" spans="1:12" ht="12.75" customHeight="1">
      <c r="A66" s="664"/>
      <c r="B66" s="4" t="s">
        <v>9</v>
      </c>
      <c r="C66" s="606" t="s">
        <v>15</v>
      </c>
      <c r="D66" s="52">
        <v>1</v>
      </c>
      <c r="E66" s="611" t="s">
        <v>7</v>
      </c>
      <c r="F66" s="41"/>
    </row>
    <row r="67" spans="1:12" ht="12.75" customHeight="1">
      <c r="A67" s="664"/>
      <c r="B67" s="4" t="s">
        <v>211</v>
      </c>
      <c r="C67" s="606" t="s">
        <v>16</v>
      </c>
      <c r="D67" s="52">
        <f>IF(Platform="S Line",10,30)</f>
        <v>30</v>
      </c>
      <c r="E67" s="611" t="s">
        <v>17</v>
      </c>
      <c r="F67" s="41"/>
    </row>
    <row r="68" spans="1:12" ht="12.75" customHeight="1">
      <c r="A68" s="664"/>
      <c r="B68" s="4" t="s">
        <v>399</v>
      </c>
      <c r="C68" s="606" t="s">
        <v>18</v>
      </c>
      <c r="D68" s="52">
        <f>SetVID_FAST*0.5</f>
        <v>15</v>
      </c>
      <c r="E68" s="611" t="s">
        <v>17</v>
      </c>
      <c r="F68" s="41"/>
    </row>
    <row r="69" spans="1:12" ht="12.75" customHeight="1">
      <c r="A69" s="664"/>
      <c r="B69" s="4" t="s">
        <v>315</v>
      </c>
      <c r="C69" s="5" t="s">
        <v>316</v>
      </c>
      <c r="D69" s="604">
        <v>0</v>
      </c>
      <c r="E69" s="605" t="s">
        <v>5</v>
      </c>
      <c r="F69" s="41"/>
    </row>
    <row r="70" spans="1:12" ht="12.75" customHeight="1" thickBot="1">
      <c r="A70" s="664"/>
      <c r="B70" s="6" t="s">
        <v>382</v>
      </c>
      <c r="C70" s="7" t="s">
        <v>383</v>
      </c>
      <c r="D70" s="501">
        <v>0</v>
      </c>
      <c r="E70" s="120" t="s">
        <v>7</v>
      </c>
      <c r="F70" s="41"/>
      <c r="G70" s="41"/>
      <c r="H70" s="43"/>
    </row>
    <row r="71" spans="1:12" ht="12.75" customHeight="1">
      <c r="A71" s="664"/>
      <c r="B71" s="5"/>
      <c r="C71" s="5"/>
      <c r="D71" s="10"/>
      <c r="E71" s="15"/>
      <c r="F71" s="41"/>
      <c r="G71" s="41"/>
    </row>
    <row r="72" spans="1:12" ht="12.75" customHeight="1" thickBot="1">
      <c r="A72" s="664"/>
      <c r="B72" s="5"/>
      <c r="C72" s="5"/>
      <c r="D72" s="10"/>
      <c r="E72"/>
      <c r="F72" s="41"/>
      <c r="G72" s="41"/>
    </row>
    <row r="73" spans="1:12" ht="12.75" customHeight="1" thickBot="1">
      <c r="A73" s="664"/>
      <c r="B73" s="410" t="s">
        <v>12</v>
      </c>
      <c r="C73" s="411" t="s">
        <v>1</v>
      </c>
      <c r="D73" s="411" t="s">
        <v>2</v>
      </c>
      <c r="E73" s="412" t="s">
        <v>3</v>
      </c>
      <c r="F73" s="41"/>
      <c r="G73" s="41"/>
    </row>
    <row r="74" spans="1:12" ht="12.75" customHeight="1">
      <c r="A74" s="664"/>
      <c r="B74" s="413" t="s">
        <v>213</v>
      </c>
      <c r="C74" s="414" t="s">
        <v>214</v>
      </c>
      <c r="D74" s="615">
        <f>((VID_1-(V_TOB_Imin*0.001))-((VID_1-((ABS(R_DC_LL)*0.001)*(IccMax)))-(V_TOB_IMAX_in_PS0*0.001)))/(IccMax)*1000</f>
        <v>2.0142857142857147</v>
      </c>
      <c r="E74" s="610" t="s">
        <v>4</v>
      </c>
      <c r="F74" s="41"/>
      <c r="G74" s="41"/>
    </row>
    <row r="75" spans="1:12" ht="12.75" customHeight="1" thickBot="1">
      <c r="A75" s="664"/>
      <c r="B75" s="6" t="s">
        <v>69</v>
      </c>
      <c r="C75" s="7" t="s">
        <v>215</v>
      </c>
      <c r="D75" s="616">
        <f>((VID_1+(V_TOB_Imin*0.001))-((VID_1-((ABS(R_DC_LL)*0.001)*(IccMax)))+(V_TOB_IMAX_in_PS0*0.001)))/(IccMax)*1000</f>
        <v>1.5857142857142856</v>
      </c>
      <c r="E75" s="39" t="s">
        <v>4</v>
      </c>
      <c r="F75" s="41"/>
      <c r="G75" s="41"/>
    </row>
    <row r="76" spans="1:12" ht="12.75" customHeight="1">
      <c r="A76" s="664"/>
      <c r="B76" s="649" t="s">
        <v>475</v>
      </c>
      <c r="C76" s="650" t="s">
        <v>476</v>
      </c>
      <c r="D76" s="615">
        <f>(VID_1+(V_TOB_IMAX_VID1+Ripple_PS0+V_OVS_IccMAX)*0.001-((VID_1-(ABS(R_AC_LL)*I_Step_PS0_IccMAX*0.001)+V_TOB_IMAX_VID1*0.001)))/(I_Step_PS0_IccMAX*0.001)</f>
        <v>5.5068965517241377</v>
      </c>
      <c r="E76" s="648" t="s">
        <v>4</v>
      </c>
      <c r="F76" s="41"/>
      <c r="G76" s="41"/>
    </row>
    <row r="77" spans="1:12" ht="12.75" customHeight="1" thickBot="1">
      <c r="A77" s="664"/>
      <c r="B77" s="6" t="s">
        <v>477</v>
      </c>
      <c r="C77" s="7" t="s">
        <v>478</v>
      </c>
      <c r="D77" s="647">
        <f>IF(V_OVS_IccMAX=V_OVS_IccMAX_App,R_AC_LL_OS_IccMAX,(VID_1+(V_TOB_IMAX_VID1+Ripple_PS0+V_OVS_IccMAX_App)*0.001-((VID_1-(ABS(R_AC_LL)*I_Step_PS0_IccMAX_App*0.001)+V_TOB_IMAX_VID1*0.001)))/(I_Step_PS0_IccMAX_App*0.001))</f>
        <v>3.5894736842105281</v>
      </c>
      <c r="E77" s="39" t="s">
        <v>4</v>
      </c>
      <c r="F77" s="41"/>
      <c r="G77" s="41"/>
    </row>
    <row r="78" spans="1:12" ht="12.75" customHeight="1">
      <c r="A78" s="664"/>
      <c r="B78" s="4" t="s">
        <v>224</v>
      </c>
      <c r="C78" s="5" t="s">
        <v>220</v>
      </c>
      <c r="D78" s="37">
        <f>((VID_1-(V_TOB_Imin*0.001))-((VID_1-((ABS(R_DC_LL)*0.001)*(Iccmax_PS1)))-(V_TOB_Imax_PS1*0.001)))/(Iccmax_PS1)*1000</f>
        <v>3.3000000000000029</v>
      </c>
      <c r="E78" s="646" t="s">
        <v>4</v>
      </c>
      <c r="F78" s="41"/>
      <c r="G78" s="41"/>
    </row>
    <row r="79" spans="1:12" ht="12.75" customHeight="1" thickBot="1">
      <c r="A79" s="664"/>
      <c r="B79" s="6" t="s">
        <v>225</v>
      </c>
      <c r="C79" s="7" t="s">
        <v>221</v>
      </c>
      <c r="D79" s="38">
        <f>((VID_1+(V_TOB_Imin*0.001))-((VID_1-((ABS(R_DC_LL)*0.001)*(Iccmax_PS1)))+(V_TOB_Imax_PS1*0.001)))/(Iccmax_PS1)*1000</f>
        <v>0.30000000000000027</v>
      </c>
      <c r="E79" s="39" t="s">
        <v>4</v>
      </c>
      <c r="F79" s="41"/>
      <c r="G79" s="41"/>
    </row>
    <row r="80" spans="1:12" ht="12.75" customHeight="1">
      <c r="A80" s="664"/>
      <c r="B80" s="4" t="s">
        <v>226</v>
      </c>
      <c r="C80" s="5" t="s">
        <v>218</v>
      </c>
      <c r="D80" s="37">
        <f>((VID_1-(V_TOB_Imin*0.001))-((VID_1-((ABS(R_DC_LL)*0.001)*(IccMax_PS2)))-(V_TOB_Imax_PS2*0.001)))/(IccMax_PS2)*1000</f>
        <v>6.7999999999999909</v>
      </c>
      <c r="E80" s="610" t="s">
        <v>4</v>
      </c>
      <c r="F80" s="41"/>
      <c r="G80" s="41"/>
      <c r="H80" s="789" t="s">
        <v>307</v>
      </c>
      <c r="I80" s="790"/>
      <c r="J80" s="790"/>
      <c r="K80" s="790"/>
      <c r="L80" s="791"/>
    </row>
    <row r="81" spans="1:14" ht="12.75" customHeight="1" thickBot="1">
      <c r="A81" s="664"/>
      <c r="B81" s="6" t="s">
        <v>227</v>
      </c>
      <c r="C81" s="7" t="s">
        <v>219</v>
      </c>
      <c r="D81" s="38">
        <f>((VID_1+(V_TOB_Imin*0.001))-((VID_1-((ABS(R_DC_LL)*0.001)*(IccMax_PS2)))+(V_TOB_Imax_PS2*0.001)))/(IccMax_PS2)*1000</f>
        <v>-3.2000000000000175</v>
      </c>
      <c r="E81" s="39" t="s">
        <v>4</v>
      </c>
      <c r="F81" s="41"/>
      <c r="G81" s="41"/>
      <c r="H81" s="792"/>
      <c r="I81" s="793"/>
      <c r="J81" s="793"/>
      <c r="K81" s="793"/>
      <c r="L81" s="794"/>
    </row>
    <row r="82" spans="1:14" ht="12.75" customHeight="1" thickBot="1">
      <c r="A82" s="664"/>
      <c r="B82" s="4" t="s">
        <v>68</v>
      </c>
      <c r="C82" s="5" t="s">
        <v>216</v>
      </c>
      <c r="D82" s="614">
        <f>((VID_1-(V_TOB_Imin*0.001))-((VID_1-((ABS(R_AC_LL)*0.001)*(IccMax)))-(V_TOB_IMAX_in_PS0*0.001)))/(IccMax)*1000</f>
        <v>2.0142857142857147</v>
      </c>
      <c r="E82" s="610" t="s">
        <v>4</v>
      </c>
      <c r="F82" s="41"/>
      <c r="G82" s="41"/>
      <c r="H82" s="795"/>
      <c r="I82" s="796"/>
      <c r="J82" s="796"/>
      <c r="K82" s="796"/>
      <c r="L82" s="797"/>
    </row>
    <row r="83" spans="1:14" ht="12.75" customHeight="1">
      <c r="A83" s="664"/>
      <c r="B83" s="4" t="s">
        <v>217</v>
      </c>
      <c r="C83" s="5" t="s">
        <v>222</v>
      </c>
      <c r="D83" s="37">
        <f>((VID_1-(V_TOB_Imin*0.001))-((VID_1-((ABS(R_AC_LL)*0.001)*(Iccmax_PS1)))-(V_TOB_Imax_PS1*0.001)))/(Iccmax_PS1)*1000</f>
        <v>3.3000000000000029</v>
      </c>
      <c r="E83" s="16" t="s">
        <v>4</v>
      </c>
      <c r="F83" s="41"/>
      <c r="G83" s="41"/>
    </row>
    <row r="84" spans="1:14" ht="12.75" customHeight="1">
      <c r="A84" s="664"/>
      <c r="B84" s="4" t="s">
        <v>210</v>
      </c>
      <c r="C84" s="5" t="s">
        <v>223</v>
      </c>
      <c r="D84" s="37">
        <f>((VID_1-(V_TOB_Imin*0.001))-((VID_1-((ABS(R_AC_LL)*0.001)*(IccMax_PS2)))-(V_TOB_Imax_PS2*0.001)))/(IccMax_PS2)*1000</f>
        <v>6.7999999999999909</v>
      </c>
      <c r="E84" s="16" t="s">
        <v>4</v>
      </c>
      <c r="F84" s="41"/>
      <c r="G84" s="41"/>
    </row>
    <row r="85" spans="1:14">
      <c r="A85" s="664"/>
      <c r="B85" s="4" t="s">
        <v>19</v>
      </c>
      <c r="C85" s="5" t="s">
        <v>20</v>
      </c>
      <c r="D85" s="409">
        <f>Iccmax_PS1*0.8</f>
        <v>8</v>
      </c>
      <c r="E85" s="613" t="s">
        <v>6</v>
      </c>
      <c r="F85" s="41"/>
      <c r="G85" s="41"/>
    </row>
    <row r="86" spans="1:14">
      <c r="A86" s="664"/>
      <c r="B86" s="4"/>
      <c r="C86" s="5" t="s">
        <v>517</v>
      </c>
      <c r="D86" s="754">
        <f>VR_TDC</f>
        <v>48</v>
      </c>
      <c r="E86" s="613" t="s">
        <v>6</v>
      </c>
      <c r="F86" s="41"/>
      <c r="G86" s="41"/>
    </row>
    <row r="87" spans="1:14">
      <c r="A87" s="664"/>
      <c r="B87" s="9" t="s">
        <v>432</v>
      </c>
      <c r="C87" s="606" t="s">
        <v>433</v>
      </c>
      <c r="D87" s="603">
        <f>IccMax*0.85</f>
        <v>59.5</v>
      </c>
      <c r="E87" s="492" t="s">
        <v>6</v>
      </c>
      <c r="F87" s="41"/>
      <c r="G87" s="41"/>
    </row>
    <row r="88" spans="1:14" ht="13.5" customHeight="1" thickBot="1">
      <c r="A88" s="665"/>
      <c r="B88" s="6" t="s">
        <v>422</v>
      </c>
      <c r="C88" s="7" t="s">
        <v>435</v>
      </c>
      <c r="D88" s="603">
        <f>IccMax_app-(IccMax-I_Step_PS0_IccMAX)</f>
        <v>47.5</v>
      </c>
      <c r="E88" s="519" t="s">
        <v>6</v>
      </c>
      <c r="F88" s="152"/>
      <c r="G88" s="41"/>
      <c r="H88" s="671"/>
      <c r="I88" s="671"/>
      <c r="J88" s="671"/>
      <c r="K88" s="671"/>
      <c r="L88" s="671"/>
      <c r="N88" s="70"/>
    </row>
    <row r="89" spans="1:14" ht="13.5" thickBot="1">
      <c r="A89" s="664"/>
      <c r="B89" s="6" t="s">
        <v>314</v>
      </c>
      <c r="C89" s="520" t="s">
        <v>38</v>
      </c>
      <c r="D89" s="626">
        <f>(VR_TDC^2-'Transient LL'!F9^2)/('Transient LL'!H9^2-2*'Transient LL'!F9*'Transient LL'!H9+VR_TDC^2)</f>
        <v>0.39102099927588702</v>
      </c>
      <c r="E89" s="120"/>
      <c r="G89" s="41"/>
    </row>
    <row r="90" spans="1:14">
      <c r="A90" s="664"/>
      <c r="B90" s="3"/>
      <c r="C90" s="3"/>
      <c r="D90" s="554"/>
      <c r="E90" s="15"/>
      <c r="F90" s="41"/>
      <c r="G90" s="41"/>
    </row>
    <row r="91" spans="1:14" ht="13.5" customHeight="1">
      <c r="A91" s="664"/>
      <c r="D91" s="555"/>
      <c r="F91" s="41"/>
      <c r="G91" s="41"/>
    </row>
    <row r="92" spans="1:14" ht="13.5" customHeight="1">
      <c r="A92" s="664"/>
      <c r="B92" s="113"/>
      <c r="C92" s="113"/>
      <c r="F92" s="41"/>
      <c r="G92" s="41"/>
    </row>
    <row r="93" spans="1:14" ht="13.5" customHeight="1">
      <c r="A93" s="664"/>
      <c r="B93" s="113"/>
      <c r="F93" s="41"/>
      <c r="G93" s="41"/>
    </row>
    <row r="94" spans="1:14" ht="13.5" customHeight="1">
      <c r="A94" s="664"/>
      <c r="B94" s="113"/>
      <c r="F94" s="41"/>
      <c r="G94" s="41"/>
    </row>
    <row r="95" spans="1:14" ht="12.75" customHeight="1">
      <c r="A95" s="664"/>
      <c r="B95" s="113"/>
      <c r="F95" s="41"/>
    </row>
    <row r="96" spans="1:14">
      <c r="A96" s="664"/>
      <c r="B96" s="113"/>
      <c r="F96"/>
    </row>
    <row r="97" spans="1:12">
      <c r="A97" s="664"/>
      <c r="B97" s="113"/>
      <c r="F97" s="41"/>
    </row>
    <row r="98" spans="1:12">
      <c r="A98" s="664"/>
      <c r="B98" s="113"/>
      <c r="F98" s="41"/>
      <c r="G98" s="43"/>
      <c r="H98" s="43"/>
    </row>
    <row r="99" spans="1:12">
      <c r="A99" s="664"/>
      <c r="B99" s="113"/>
      <c r="F99" s="41"/>
      <c r="G99" s="41"/>
      <c r="H99" s="43"/>
    </row>
    <row r="100" spans="1:12">
      <c r="A100" s="664"/>
      <c r="B100" s="113"/>
      <c r="F100" s="41"/>
      <c r="G100" s="41"/>
      <c r="H100" s="43"/>
    </row>
    <row r="101" spans="1:12">
      <c r="A101" s="664"/>
      <c r="B101" s="113"/>
      <c r="F101" s="41"/>
      <c r="G101" s="41"/>
      <c r="H101"/>
      <c r="I101"/>
      <c r="J101"/>
      <c r="K101"/>
      <c r="L101"/>
    </row>
    <row r="102" spans="1:12">
      <c r="A102" s="664"/>
      <c r="B102" s="113"/>
      <c r="G102" s="41"/>
    </row>
    <row r="103" spans="1:12">
      <c r="A103" s="664"/>
      <c r="B103" s="113"/>
      <c r="G103" s="41"/>
    </row>
    <row r="104" spans="1:12">
      <c r="A104" s="664"/>
      <c r="B104" s="113"/>
      <c r="F104" s="41"/>
      <c r="G104" s="41"/>
    </row>
    <row r="105" spans="1:12">
      <c r="A105" s="664"/>
      <c r="B105" s="113"/>
      <c r="F105" s="41"/>
      <c r="G105" s="41"/>
    </row>
    <row r="106" spans="1:12">
      <c r="A106" s="664"/>
      <c r="B106" s="113"/>
      <c r="F106" s="41"/>
      <c r="G106" s="41"/>
    </row>
    <row r="107" spans="1:12">
      <c r="A107" s="666"/>
      <c r="B107" s="113"/>
      <c r="F107" s="41"/>
      <c r="G107" s="41"/>
    </row>
    <row r="108" spans="1:12">
      <c r="A108" s="666"/>
      <c r="B108" s="113"/>
      <c r="F108" s="41"/>
      <c r="G108" s="41"/>
      <c r="H108" s="43"/>
    </row>
    <row r="109" spans="1:12">
      <c r="A109" s="666"/>
      <c r="B109" s="113"/>
    </row>
    <row r="110" spans="1:12">
      <c r="A110" s="666"/>
      <c r="B110" s="113"/>
      <c r="F110" s="41"/>
    </row>
    <row r="111" spans="1:12">
      <c r="A111" s="666"/>
      <c r="B111" s="113"/>
      <c r="F111" s="41"/>
    </row>
    <row r="112" spans="1:12">
      <c r="A112" s="666"/>
      <c r="B112" s="113"/>
      <c r="F112" s="41"/>
    </row>
    <row r="113" spans="1:8">
      <c r="A113" s="666"/>
      <c r="B113" s="113"/>
      <c r="F113" s="41"/>
      <c r="G113" s="43"/>
    </row>
    <row r="114" spans="1:8">
      <c r="A114" s="666"/>
      <c r="B114" s="113"/>
      <c r="F114" s="42"/>
      <c r="G114" s="43"/>
      <c r="H114"/>
    </row>
    <row r="115" spans="1:8">
      <c r="A115" s="666"/>
      <c r="B115" s="113"/>
      <c r="F115" s="42"/>
      <c r="G115" s="43"/>
    </row>
    <row r="116" spans="1:8">
      <c r="A116" s="666"/>
      <c r="B116" s="113"/>
      <c r="F116" s="42"/>
      <c r="G116" s="43"/>
      <c r="H116" s="42"/>
    </row>
    <row r="117" spans="1:8">
      <c r="A117" s="666"/>
      <c r="B117" s="113"/>
      <c r="F117" s="42"/>
      <c r="G117" s="43"/>
      <c r="H117" s="200"/>
    </row>
    <row r="118" spans="1:8">
      <c r="A118" s="666"/>
      <c r="B118" s="113"/>
      <c r="F118" s="42"/>
      <c r="G118" s="43"/>
      <c r="H118" s="42"/>
    </row>
    <row r="119" spans="1:8">
      <c r="A119" s="666"/>
      <c r="B119" s="113"/>
      <c r="F119" s="42"/>
      <c r="G119" s="43"/>
      <c r="H119" s="42"/>
    </row>
    <row r="120" spans="1:8">
      <c r="A120" s="666"/>
      <c r="B120" s="113"/>
      <c r="F120" s="42"/>
      <c r="G120" s="43"/>
      <c r="H120" s="42"/>
    </row>
    <row r="121" spans="1:8">
      <c r="A121" s="666"/>
      <c r="B121" s="113"/>
      <c r="F121" s="42"/>
      <c r="G121" s="43"/>
      <c r="H121" s="42"/>
    </row>
    <row r="122" spans="1:8">
      <c r="A122" s="666"/>
      <c r="B122" s="113"/>
      <c r="F122" s="42"/>
      <c r="G122" s="43"/>
      <c r="H122" s="42"/>
    </row>
    <row r="123" spans="1:8">
      <c r="A123" s="666"/>
      <c r="B123" s="113"/>
      <c r="F123" s="42"/>
      <c r="G123" s="43"/>
      <c r="H123" s="42"/>
    </row>
    <row r="124" spans="1:8">
      <c r="A124" s="666"/>
      <c r="B124" s="113"/>
      <c r="F124" s="42"/>
      <c r="G124" s="43"/>
      <c r="H124" s="42"/>
    </row>
    <row r="125" spans="1:8">
      <c r="A125" s="667"/>
      <c r="B125" s="113"/>
      <c r="F125" s="42"/>
      <c r="G125" s="43"/>
      <c r="H125" s="42"/>
    </row>
    <row r="126" spans="1:8">
      <c r="A126" s="667"/>
      <c r="B126" s="113"/>
      <c r="F126" s="71"/>
      <c r="G126" s="43"/>
      <c r="H126" s="42"/>
    </row>
    <row r="127" spans="1:8">
      <c r="A127" s="667"/>
      <c r="B127" s="113"/>
      <c r="F127" s="71"/>
      <c r="G127" s="43"/>
      <c r="H127" s="43"/>
    </row>
    <row r="128" spans="1:8">
      <c r="A128" s="667"/>
      <c r="B128" s="113"/>
      <c r="F128" s="71"/>
      <c r="G128" s="43"/>
      <c r="H128" s="43"/>
    </row>
    <row r="129" spans="1:8">
      <c r="A129" s="667"/>
      <c r="B129" s="113"/>
      <c r="F129" s="71"/>
      <c r="G129" s="43"/>
      <c r="H129" s="43"/>
    </row>
    <row r="130" spans="1:8">
      <c r="A130" s="667"/>
      <c r="F130" s="71"/>
      <c r="G130" s="43"/>
      <c r="H130" s="43"/>
    </row>
    <row r="131" spans="1:8">
      <c r="A131" s="667"/>
      <c r="F131" s="71"/>
      <c r="G131" s="43"/>
      <c r="H131" s="43"/>
    </row>
    <row r="132" spans="1:8">
      <c r="A132" s="667"/>
      <c r="F132" s="71"/>
      <c r="G132" s="43"/>
      <c r="H132" s="43"/>
    </row>
    <row r="133" spans="1:8">
      <c r="A133" s="667"/>
      <c r="F133" s="71"/>
      <c r="G133" s="43"/>
      <c r="H133" s="43"/>
    </row>
    <row r="134" spans="1:8">
      <c r="A134" s="667"/>
      <c r="F134" s="71"/>
      <c r="G134" s="43"/>
      <c r="H134" s="43"/>
    </row>
    <row r="135" spans="1:8">
      <c r="A135" s="667"/>
      <c r="F135" s="71"/>
      <c r="G135" s="43"/>
      <c r="H135" s="43"/>
    </row>
    <row r="136" spans="1:8">
      <c r="A136" s="667"/>
      <c r="F136" s="71"/>
      <c r="G136" s="43"/>
      <c r="H136" s="43"/>
    </row>
    <row r="137" spans="1:8">
      <c r="A137" s="667"/>
      <c r="F137" s="71"/>
      <c r="G137" s="43"/>
      <c r="H137" s="43"/>
    </row>
    <row r="138" spans="1:8">
      <c r="A138" s="667"/>
      <c r="F138" s="71"/>
      <c r="G138" s="43"/>
      <c r="H138" s="43"/>
    </row>
    <row r="139" spans="1:8">
      <c r="A139" s="667"/>
      <c r="F139" s="71"/>
      <c r="G139" s="43"/>
      <c r="H139" s="43"/>
    </row>
    <row r="140" spans="1:8">
      <c r="A140" s="667"/>
      <c r="F140" s="43"/>
      <c r="G140" s="43"/>
      <c r="H140" s="43"/>
    </row>
    <row r="141" spans="1:8">
      <c r="A141" s="667"/>
      <c r="F141" s="43"/>
      <c r="G141" s="43"/>
      <c r="H141" s="43"/>
    </row>
    <row r="142" spans="1:8">
      <c r="A142" s="667"/>
      <c r="F142" s="43"/>
      <c r="G142" s="43"/>
      <c r="H142" s="43"/>
    </row>
    <row r="143" spans="1:8">
      <c r="A143" s="667"/>
      <c r="F143" s="43"/>
      <c r="G143" s="43"/>
      <c r="H143" s="43"/>
    </row>
    <row r="144" spans="1:8">
      <c r="A144" s="667"/>
      <c r="F144" s="43"/>
      <c r="G144" s="43"/>
      <c r="H144" s="43"/>
    </row>
    <row r="145" spans="6:8">
      <c r="F145" s="43"/>
      <c r="G145" s="43"/>
      <c r="H145" s="43"/>
    </row>
    <row r="146" spans="6:8">
      <c r="F146" s="43"/>
      <c r="G146" s="43"/>
      <c r="H146" s="43"/>
    </row>
    <row r="147" spans="6:8">
      <c r="F147" s="43"/>
      <c r="G147" s="43"/>
      <c r="H147" s="43"/>
    </row>
    <row r="148" spans="6:8">
      <c r="F148" s="43"/>
      <c r="G148" s="43"/>
      <c r="H148" s="43"/>
    </row>
    <row r="149" spans="6:8">
      <c r="F149" s="43"/>
      <c r="G149" s="43"/>
      <c r="H149" s="43"/>
    </row>
    <row r="150" spans="6:8">
      <c r="F150" s="43"/>
      <c r="G150" s="43"/>
      <c r="H150" s="43"/>
    </row>
    <row r="151" spans="6:8">
      <c r="F151" s="43"/>
      <c r="G151" s="43"/>
      <c r="H151" s="43"/>
    </row>
    <row r="152" spans="6:8">
      <c r="F152" s="43"/>
      <c r="G152" s="43"/>
      <c r="H152" s="43"/>
    </row>
    <row r="153" spans="6:8">
      <c r="F153" s="43"/>
      <c r="G153" s="43"/>
      <c r="H153" s="43"/>
    </row>
    <row r="154" spans="6:8">
      <c r="F154" s="43"/>
      <c r="G154" s="43"/>
      <c r="H154" s="43"/>
    </row>
    <row r="155" spans="6:8">
      <c r="F155" s="43"/>
      <c r="G155" s="43"/>
      <c r="H155" s="43"/>
    </row>
    <row r="156" spans="6:8">
      <c r="F156" s="43"/>
      <c r="G156" s="43"/>
      <c r="H156" s="43"/>
    </row>
    <row r="157" spans="6:8">
      <c r="F157" s="43"/>
      <c r="G157" s="43"/>
      <c r="H157" s="43"/>
    </row>
    <row r="158" spans="6:8">
      <c r="F158" s="43"/>
      <c r="G158" s="43"/>
      <c r="H158" s="43"/>
    </row>
    <row r="159" spans="6:8">
      <c r="F159" s="43"/>
      <c r="G159" s="43"/>
      <c r="H159" s="43"/>
    </row>
    <row r="160" spans="6:8">
      <c r="F160" s="43"/>
      <c r="G160" s="43"/>
      <c r="H160" s="43"/>
    </row>
    <row r="161" spans="6:8">
      <c r="F161" s="43"/>
      <c r="G161" s="43"/>
      <c r="H161" s="43"/>
    </row>
    <row r="162" spans="6:8">
      <c r="F162" s="43"/>
      <c r="G162" s="43"/>
      <c r="H162" s="43"/>
    </row>
    <row r="163" spans="6:8">
      <c r="F163" s="43"/>
      <c r="G163" s="43"/>
      <c r="H163" s="43"/>
    </row>
    <row r="164" spans="6:8">
      <c r="F164" s="43"/>
      <c r="G164" s="43"/>
      <c r="H164" s="43"/>
    </row>
    <row r="165" spans="6:8">
      <c r="F165" s="43"/>
      <c r="G165" s="43"/>
      <c r="H165" s="43"/>
    </row>
    <row r="166" spans="6:8">
      <c r="F166" s="43"/>
      <c r="G166" s="43"/>
      <c r="H166" s="43"/>
    </row>
    <row r="167" spans="6:8">
      <c r="F167" s="43"/>
      <c r="G167" s="43"/>
      <c r="H167" s="43"/>
    </row>
    <row r="168" spans="6:8">
      <c r="F168" s="43"/>
      <c r="G168" s="43"/>
      <c r="H168" s="43"/>
    </row>
    <row r="169" spans="6:8">
      <c r="F169" s="43"/>
      <c r="G169" s="43"/>
      <c r="H169" s="43"/>
    </row>
    <row r="170" spans="6:8">
      <c r="F170" s="43"/>
      <c r="G170" s="43"/>
      <c r="H170" s="43"/>
    </row>
    <row r="171" spans="6:8">
      <c r="F171" s="43"/>
      <c r="G171" s="43"/>
      <c r="H171" s="43"/>
    </row>
    <row r="172" spans="6:8">
      <c r="F172" s="43"/>
      <c r="G172" s="43"/>
      <c r="H172" s="43"/>
    </row>
    <row r="173" spans="6:8">
      <c r="F173" s="43"/>
      <c r="G173" s="43"/>
      <c r="H173" s="43"/>
    </row>
    <row r="174" spans="6:8">
      <c r="F174" s="43"/>
      <c r="G174" s="43"/>
      <c r="H174" s="43"/>
    </row>
    <row r="175" spans="6:8">
      <c r="F175" s="43"/>
      <c r="G175" s="43"/>
      <c r="H175" s="43"/>
    </row>
    <row r="176" spans="6:8">
      <c r="F176" s="43"/>
      <c r="G176" s="43"/>
      <c r="H176" s="43"/>
    </row>
    <row r="177" spans="6:8">
      <c r="F177" s="43"/>
      <c r="G177" s="43"/>
      <c r="H177" s="43"/>
    </row>
    <row r="178" spans="6:8">
      <c r="F178" s="43"/>
      <c r="G178" s="43"/>
      <c r="H178" s="43"/>
    </row>
    <row r="179" spans="6:8">
      <c r="F179" s="43"/>
      <c r="G179" s="43"/>
      <c r="H179" s="43"/>
    </row>
    <row r="180" spans="6:8">
      <c r="F180" s="43"/>
      <c r="G180" s="43"/>
      <c r="H180" s="43"/>
    </row>
    <row r="181" spans="6:8">
      <c r="F181" s="43"/>
      <c r="G181" s="43"/>
      <c r="H181" s="43"/>
    </row>
    <row r="182" spans="6:8">
      <c r="F182" s="43"/>
      <c r="G182" s="43"/>
      <c r="H182" s="43"/>
    </row>
    <row r="183" spans="6:8">
      <c r="F183" s="43"/>
      <c r="G183" s="43"/>
      <c r="H183" s="43"/>
    </row>
    <row r="184" spans="6:8">
      <c r="F184" s="43"/>
      <c r="G184" s="43"/>
      <c r="H184" s="43"/>
    </row>
    <row r="185" spans="6:8">
      <c r="F185" s="43"/>
      <c r="G185" s="43"/>
      <c r="H185" s="43"/>
    </row>
    <row r="186" spans="6:8">
      <c r="F186" s="43"/>
      <c r="G186" s="43"/>
      <c r="H186" s="43"/>
    </row>
    <row r="187" spans="6:8">
      <c r="F187" s="43"/>
      <c r="G187" s="43"/>
      <c r="H187" s="43"/>
    </row>
    <row r="188" spans="6:8">
      <c r="F188" s="43"/>
      <c r="G188" s="43"/>
      <c r="H188" s="43"/>
    </row>
    <row r="189" spans="6:8">
      <c r="F189" s="43"/>
      <c r="G189" s="43"/>
      <c r="H189" s="43"/>
    </row>
    <row r="190" spans="6:8">
      <c r="F190" s="43"/>
      <c r="G190" s="43"/>
      <c r="H190" s="43"/>
    </row>
    <row r="191" spans="6:8">
      <c r="F191" s="43"/>
      <c r="G191" s="43"/>
      <c r="H191" s="43"/>
    </row>
    <row r="192" spans="6:8">
      <c r="F192" s="43"/>
      <c r="G192" s="43"/>
      <c r="H192" s="43"/>
    </row>
    <row r="193" spans="6:8">
      <c r="F193" s="43"/>
      <c r="G193" s="43"/>
      <c r="H193" s="43"/>
    </row>
    <row r="194" spans="6:8">
      <c r="F194" s="43"/>
      <c r="G194" s="43"/>
      <c r="H194" s="43"/>
    </row>
    <row r="195" spans="6:8">
      <c r="F195" s="43"/>
      <c r="G195" s="43"/>
      <c r="H195" s="43"/>
    </row>
    <row r="196" spans="6:8">
      <c r="F196" s="43"/>
      <c r="G196" s="43"/>
      <c r="H196" s="43"/>
    </row>
    <row r="197" spans="6:8">
      <c r="F197" s="43"/>
      <c r="G197" s="43"/>
      <c r="H197" s="43"/>
    </row>
    <row r="198" spans="6:8" ht="25.5">
      <c r="F198" s="72"/>
      <c r="G198" s="43"/>
      <c r="H198" s="43"/>
    </row>
    <row r="199" spans="6:8" ht="25.5">
      <c r="F199" s="72"/>
      <c r="G199" s="43"/>
      <c r="H199" s="43"/>
    </row>
    <row r="200" spans="6:8" ht="13.5" customHeight="1">
      <c r="F200" s="41"/>
      <c r="G200" s="43"/>
      <c r="H200" s="43"/>
    </row>
    <row r="201" spans="6:8">
      <c r="F201" s="42"/>
      <c r="G201" s="43"/>
      <c r="H201" s="43"/>
    </row>
    <row r="202" spans="6:8">
      <c r="F202" s="42"/>
      <c r="G202" s="43"/>
      <c r="H202" s="43"/>
    </row>
    <row r="203" spans="6:8">
      <c r="F203" s="42"/>
      <c r="G203" s="43"/>
      <c r="H203" s="43"/>
    </row>
    <row r="204" spans="6:8">
      <c r="F204" s="42"/>
      <c r="G204" s="43"/>
      <c r="H204" s="43"/>
    </row>
    <row r="205" spans="6:8">
      <c r="F205" s="43"/>
      <c r="G205" s="43"/>
      <c r="H205" s="43"/>
    </row>
    <row r="206" spans="6:8">
      <c r="F206" s="43"/>
      <c r="G206" s="43"/>
      <c r="H206" s="43"/>
    </row>
    <row r="207" spans="6:8">
      <c r="F207" s="43"/>
      <c r="G207" s="43"/>
      <c r="H207" s="43"/>
    </row>
    <row r="208" spans="6:8">
      <c r="F208" s="43"/>
      <c r="G208" s="43"/>
      <c r="H208" s="43"/>
    </row>
    <row r="209" spans="6:8">
      <c r="F209" s="43"/>
      <c r="G209" s="43"/>
      <c r="H209" s="43"/>
    </row>
    <row r="210" spans="6:8">
      <c r="G210" s="43"/>
      <c r="H210" s="43"/>
    </row>
    <row r="211" spans="6:8">
      <c r="G211" s="43"/>
      <c r="H211" s="43"/>
    </row>
  </sheetData>
  <protectedRanges>
    <protectedRange sqref="I20:I25 B20 B28 D21:D25" name="Range1_1_1"/>
  </protectedRanges>
  <dataConsolidate/>
  <mergeCells count="18">
    <mergeCell ref="B16:C16"/>
    <mergeCell ref="B18:C18"/>
    <mergeCell ref="B10:C10"/>
    <mergeCell ref="B1:E2"/>
    <mergeCell ref="B4:C4"/>
    <mergeCell ref="D4:E4"/>
    <mergeCell ref="B6:C6"/>
    <mergeCell ref="D6:E6"/>
    <mergeCell ref="B12:C12"/>
    <mergeCell ref="B14:C14"/>
    <mergeCell ref="B28:F28"/>
    <mergeCell ref="H80:L82"/>
    <mergeCell ref="B30:E30"/>
    <mergeCell ref="B20:I26"/>
    <mergeCell ref="H50:L64"/>
    <mergeCell ref="H40:L41"/>
    <mergeCell ref="G28:H28"/>
    <mergeCell ref="H32:L37"/>
  </mergeCells>
  <phoneticPr fontId="8" type="noConversion"/>
  <dataValidations count="5">
    <dataValidation type="list" allowBlank="1" showInputMessage="1" showErrorMessage="1" sqref="D10">
      <formula1>$A$11:$A$13</formula1>
    </dataValidation>
    <dataValidation type="list" allowBlank="1" showInputMessage="1" showErrorMessage="1" sqref="D16">
      <formula1>$A$23:$A$26</formula1>
    </dataValidation>
    <dataValidation type="list" allowBlank="1" showInputMessage="1" showErrorMessage="1" sqref="D6:E6">
      <formula1>$A$1:$A$5</formula1>
    </dataValidation>
    <dataValidation type="list" allowBlank="1" showInputMessage="1" showErrorMessage="1" sqref="G28:H28">
      <formula1>Y_Line</formula1>
    </dataValidation>
    <dataValidation type="list" allowBlank="1" showInputMessage="1" showErrorMessage="1" sqref="D4:E4">
      <formula1>$A$29:$A$33</formula1>
    </dataValidation>
  </dataValidations>
  <pageMargins left="0.7" right="0.7" top="0.75" bottom="0.75" header="0.3" footer="0.3"/>
  <pageSetup orientation="portrait" r:id="rId1"/>
  <headerFooter alignWithMargins="0"/>
  <ignoredErrors>
    <ignoredError sqref="D82" evalError="1"/>
  </ignoredErrors>
  <drawing r:id="rId2"/>
</worksheet>
</file>

<file path=xl/worksheets/sheet4.xml><?xml version="1.0" encoding="utf-8"?>
<worksheet xmlns="http://schemas.openxmlformats.org/spreadsheetml/2006/main" xmlns:r="http://schemas.openxmlformats.org/officeDocument/2006/relationships">
  <sheetPr codeName="Sheet7">
    <tabColor rgb="FF00B0F0"/>
  </sheetPr>
  <dimension ref="A1:K45"/>
  <sheetViews>
    <sheetView zoomScaleNormal="100" workbookViewId="0">
      <selection activeCell="J18" sqref="J18"/>
    </sheetView>
  </sheetViews>
  <sheetFormatPr defaultRowHeight="12.75"/>
  <cols>
    <col min="1" max="5" width="0.85546875" customWidth="1"/>
    <col min="6" max="6" width="13.5703125" customWidth="1"/>
    <col min="7" max="7" width="11" customWidth="1"/>
    <col min="8" max="8" width="13" customWidth="1"/>
    <col min="9" max="9" width="11.28515625" customWidth="1"/>
  </cols>
  <sheetData>
    <row r="1" spans="1:11">
      <c r="C1" s="822" t="s">
        <v>0</v>
      </c>
      <c r="D1" s="823"/>
      <c r="E1" s="823"/>
      <c r="F1" s="823"/>
      <c r="G1" s="823"/>
      <c r="H1" s="823"/>
      <c r="I1" s="824"/>
    </row>
    <row r="2" spans="1:11">
      <c r="C2" s="825"/>
      <c r="D2" s="826"/>
      <c r="E2" s="826"/>
      <c r="F2" s="826"/>
      <c r="G2" s="826"/>
      <c r="H2" s="826"/>
      <c r="I2" s="827"/>
    </row>
    <row r="3" spans="1:11" ht="13.5" thickBot="1"/>
    <row r="4" spans="1:11" ht="12.75" customHeight="1">
      <c r="F4" s="838" t="s">
        <v>535</v>
      </c>
      <c r="G4" s="839"/>
      <c r="H4" s="839"/>
      <c r="I4" s="839"/>
      <c r="J4" s="401"/>
    </row>
    <row r="5" spans="1:11" ht="12.75" customHeight="1">
      <c r="F5" s="840"/>
      <c r="G5" s="841"/>
      <c r="H5" s="841"/>
      <c r="I5" s="841"/>
      <c r="J5" s="30"/>
      <c r="K5" s="29"/>
    </row>
    <row r="6" spans="1:11">
      <c r="C6" s="256"/>
      <c r="D6" s="256"/>
      <c r="E6" s="256"/>
      <c r="F6" s="406"/>
      <c r="G6" s="256"/>
      <c r="H6" s="256"/>
      <c r="I6" s="256"/>
      <c r="J6" s="30"/>
      <c r="K6" s="29"/>
    </row>
    <row r="7" spans="1:11">
      <c r="C7" s="256"/>
      <c r="D7" s="256"/>
      <c r="E7" s="256"/>
      <c r="F7" s="29"/>
      <c r="G7" s="17"/>
      <c r="H7" s="17"/>
      <c r="I7" s="256"/>
      <c r="J7" s="30"/>
      <c r="K7" s="29"/>
    </row>
    <row r="8" spans="1:11">
      <c r="C8" s="256"/>
      <c r="D8" s="256"/>
      <c r="E8" s="256"/>
      <c r="F8" s="828" t="str">
        <f>"Set  VID to "&amp; VID_1&amp;"V"</f>
        <v>Set  VID to 0.9V</v>
      </c>
      <c r="G8" s="829"/>
      <c r="H8" s="829"/>
      <c r="I8" s="256"/>
      <c r="J8" s="30"/>
      <c r="K8" s="29"/>
    </row>
    <row r="9" spans="1:11">
      <c r="C9" s="256"/>
      <c r="D9" s="256"/>
      <c r="E9" s="256"/>
      <c r="F9" s="830" t="str">
        <f>"Set  Icc to 0A and wait 3 minutes"</f>
        <v>Set  Icc to 0A and wait 3 minutes</v>
      </c>
      <c r="G9" s="831"/>
      <c r="H9" s="831"/>
      <c r="I9" s="256"/>
      <c r="J9" s="30"/>
      <c r="K9" s="29"/>
    </row>
    <row r="10" spans="1:11">
      <c r="C10" s="256"/>
      <c r="D10" s="256"/>
      <c r="E10" s="256"/>
      <c r="F10" s="828" t="str">
        <f>"Set  Icc to "&amp;LT_TDC&amp;"A"</f>
        <v>Set  Icc to 48A</v>
      </c>
      <c r="G10" s="829"/>
      <c r="H10" s="829"/>
      <c r="I10" s="256"/>
      <c r="J10" s="30"/>
      <c r="K10" s="29"/>
    </row>
    <row r="11" spans="1:11" ht="38.25">
      <c r="A11" s="266" t="s">
        <v>143</v>
      </c>
      <c r="B11" s="267" t="s">
        <v>97</v>
      </c>
      <c r="C11" s="266" t="s">
        <v>142</v>
      </c>
      <c r="D11" s="266" t="s">
        <v>118</v>
      </c>
      <c r="E11" s="266"/>
      <c r="F11" s="402" t="s">
        <v>138</v>
      </c>
      <c r="G11" s="259" t="s">
        <v>139</v>
      </c>
      <c r="H11" s="259" t="s">
        <v>3</v>
      </c>
      <c r="I11" s="257"/>
      <c r="J11" s="30"/>
      <c r="K11" s="29"/>
    </row>
    <row r="12" spans="1:11">
      <c r="A12" s="265">
        <f>B12+$B$17</f>
        <v>0.81889999999999996</v>
      </c>
      <c r="B12" s="264">
        <f>G12</f>
        <v>0.81589999999999996</v>
      </c>
      <c r="C12" s="265">
        <f>B12-$B$17</f>
        <v>0.81289999999999996</v>
      </c>
      <c r="D12" s="265"/>
      <c r="E12" s="265"/>
      <c r="F12" s="755" t="s">
        <v>527</v>
      </c>
      <c r="G12" s="767">
        <v>0.81589999999999996</v>
      </c>
      <c r="H12" s="261" t="s">
        <v>14</v>
      </c>
      <c r="I12" s="258"/>
      <c r="J12" s="30"/>
      <c r="K12" s="29"/>
    </row>
    <row r="13" spans="1:11">
      <c r="A13" s="265">
        <f>B13+$B$17</f>
        <v>0.81889999999999996</v>
      </c>
      <c r="B13" s="264">
        <f>G12</f>
        <v>0.81589999999999996</v>
      </c>
      <c r="C13" s="265">
        <f>B13-$B$17</f>
        <v>0.81289999999999996</v>
      </c>
      <c r="D13" s="265"/>
      <c r="E13" s="265"/>
      <c r="F13" s="755" t="s">
        <v>528</v>
      </c>
      <c r="G13" s="767">
        <v>0.81610000000000005</v>
      </c>
      <c r="H13" s="261" t="s">
        <v>14</v>
      </c>
      <c r="I13" s="258"/>
      <c r="J13" s="30"/>
      <c r="K13" s="29"/>
    </row>
    <row r="14" spans="1:11">
      <c r="A14" s="265">
        <f>B14+$B$17</f>
        <v>0.81889999999999996</v>
      </c>
      <c r="B14" s="264">
        <f>G12</f>
        <v>0.81589999999999996</v>
      </c>
      <c r="C14" s="265">
        <f>B14-$B$17</f>
        <v>0.81289999999999996</v>
      </c>
      <c r="D14" s="265"/>
      <c r="E14" s="265"/>
      <c r="F14" s="755" t="s">
        <v>529</v>
      </c>
      <c r="G14" s="767">
        <v>0.81620000000000004</v>
      </c>
      <c r="H14" s="261" t="s">
        <v>14</v>
      </c>
      <c r="I14" s="258"/>
      <c r="J14" s="30"/>
      <c r="K14" s="29"/>
    </row>
    <row r="15" spans="1:11">
      <c r="A15" s="265">
        <f>B15+$B$17</f>
        <v>0.81889999999999996</v>
      </c>
      <c r="B15" s="264">
        <f>G12</f>
        <v>0.81589999999999996</v>
      </c>
      <c r="C15" s="265">
        <f>B15-$B$17</f>
        <v>0.81289999999999996</v>
      </c>
      <c r="D15" s="265"/>
      <c r="E15" s="265"/>
      <c r="F15" s="755" t="s">
        <v>530</v>
      </c>
      <c r="G15" s="767">
        <v>0.81610000000000005</v>
      </c>
      <c r="H15" s="261" t="s">
        <v>14</v>
      </c>
      <c r="I15" s="258"/>
      <c r="J15" s="30"/>
      <c r="K15" s="29"/>
    </row>
    <row r="16" spans="1:11">
      <c r="B16" s="264"/>
      <c r="C16" s="256"/>
      <c r="D16" s="256"/>
      <c r="E16" s="256"/>
      <c r="F16" s="404"/>
      <c r="G16" s="263" t="s">
        <v>544</v>
      </c>
      <c r="H16" s="262"/>
      <c r="I16" s="256"/>
      <c r="J16" s="30"/>
      <c r="K16" s="29"/>
    </row>
    <row r="17" spans="1:11" ht="12.75" customHeight="1">
      <c r="A17" s="44" t="s">
        <v>141</v>
      </c>
      <c r="B17" s="256">
        <v>3.0000000000000001E-3</v>
      </c>
      <c r="F17" s="834" t="s">
        <v>140</v>
      </c>
      <c r="G17" s="835"/>
      <c r="H17" s="835"/>
      <c r="I17" s="257"/>
      <c r="J17" s="30"/>
      <c r="K17" s="29"/>
    </row>
    <row r="18" spans="1:11">
      <c r="F18" s="836"/>
      <c r="G18" s="837"/>
      <c r="H18" s="837"/>
      <c r="I18" s="17"/>
      <c r="J18" s="30"/>
      <c r="K18" s="29"/>
    </row>
    <row r="19" spans="1:11">
      <c r="B19" s="44" t="s">
        <v>58</v>
      </c>
      <c r="C19" s="44" t="s">
        <v>118</v>
      </c>
      <c r="F19" s="29"/>
      <c r="G19" s="17"/>
      <c r="H19" s="17"/>
      <c r="I19" s="17"/>
      <c r="J19" s="30"/>
      <c r="K19" s="29"/>
    </row>
    <row r="20" spans="1:11" ht="13.5" thickBot="1">
      <c r="F20" s="832" t="s">
        <v>144</v>
      </c>
      <c r="G20" s="833"/>
      <c r="H20" s="833"/>
      <c r="I20" s="833"/>
      <c r="J20" s="407" t="s">
        <v>51</v>
      </c>
    </row>
    <row r="21" spans="1:11" ht="13.15" customHeight="1">
      <c r="B21" s="44" t="s">
        <v>58</v>
      </c>
      <c r="C21" s="44" t="s">
        <v>118</v>
      </c>
      <c r="F21" s="505"/>
      <c r="J21" s="504"/>
    </row>
    <row r="22" spans="1:11">
      <c r="B22" s="44" t="s">
        <v>51</v>
      </c>
      <c r="C22" s="44" t="s">
        <v>118</v>
      </c>
      <c r="F22" s="848" t="s">
        <v>531</v>
      </c>
      <c r="G22" s="849"/>
      <c r="H22" s="849"/>
      <c r="I22" s="849"/>
      <c r="J22" s="850"/>
    </row>
    <row r="23" spans="1:11" ht="13.15" customHeight="1">
      <c r="B23" s="44" t="s">
        <v>50</v>
      </c>
      <c r="C23" s="44" t="s">
        <v>118</v>
      </c>
      <c r="F23" s="851"/>
      <c r="G23" s="849"/>
      <c r="H23" s="849"/>
      <c r="I23" s="849"/>
      <c r="J23" s="850"/>
    </row>
    <row r="24" spans="1:11" ht="13.15" customHeight="1">
      <c r="B24" s="44"/>
      <c r="C24" s="44"/>
      <c r="F24" s="851"/>
      <c r="G24" s="849"/>
      <c r="H24" s="849"/>
      <c r="I24" s="849"/>
      <c r="J24" s="850"/>
    </row>
    <row r="25" spans="1:11" ht="13.15" customHeight="1">
      <c r="B25" s="44"/>
      <c r="C25" s="44"/>
      <c r="F25" s="851"/>
      <c r="G25" s="849"/>
      <c r="H25" s="849"/>
      <c r="I25" s="849"/>
      <c r="J25" s="850"/>
    </row>
    <row r="26" spans="1:11">
      <c r="B26" s="44"/>
      <c r="C26" s="44"/>
      <c r="F26" s="503"/>
      <c r="G26" s="62"/>
      <c r="H26" s="62"/>
      <c r="I26" s="62"/>
      <c r="J26" s="502"/>
    </row>
    <row r="27" spans="1:11">
      <c r="B27" s="44"/>
      <c r="C27" s="44"/>
      <c r="F27" s="852" t="s">
        <v>309</v>
      </c>
      <c r="G27" s="853"/>
      <c r="H27" s="853"/>
      <c r="I27" s="854"/>
      <c r="J27" s="408" t="s">
        <v>50</v>
      </c>
    </row>
    <row r="28" spans="1:11" ht="13.5" thickBot="1">
      <c r="F28" s="855"/>
      <c r="G28" s="856"/>
      <c r="H28" s="856"/>
      <c r="I28" s="857"/>
      <c r="J28" s="111"/>
    </row>
    <row r="29" spans="1:11">
      <c r="F29" s="506"/>
      <c r="G29" s="506"/>
      <c r="H29" s="506"/>
      <c r="I29" s="256"/>
      <c r="J29" s="62"/>
    </row>
    <row r="30" spans="1:11" ht="12.75" customHeight="1" thickBot="1"/>
    <row r="31" spans="1:11" ht="15.6" customHeight="1">
      <c r="F31" s="838" t="s">
        <v>179</v>
      </c>
      <c r="G31" s="839"/>
      <c r="H31" s="839"/>
      <c r="I31" s="839"/>
      <c r="J31" s="401"/>
    </row>
    <row r="32" spans="1:11" ht="15.6" customHeight="1">
      <c r="F32" s="840"/>
      <c r="G32" s="841"/>
      <c r="H32" s="841"/>
      <c r="I32" s="841"/>
      <c r="J32" s="30"/>
    </row>
    <row r="33" spans="6:10">
      <c r="F33" s="29"/>
      <c r="G33" s="17"/>
      <c r="H33" s="17"/>
      <c r="I33" s="17"/>
      <c r="J33" s="30"/>
    </row>
    <row r="34" spans="6:10">
      <c r="F34" s="29"/>
      <c r="G34" s="17"/>
      <c r="H34" s="17"/>
      <c r="I34" s="17"/>
      <c r="J34" s="30"/>
    </row>
    <row r="35" spans="6:10">
      <c r="F35" s="828" t="str">
        <f>"Set  VID to "&amp; VID_1&amp;"V"</f>
        <v>Set  VID to 0.9V</v>
      </c>
      <c r="G35" s="829"/>
      <c r="H35" s="829"/>
      <c r="I35" s="256"/>
      <c r="J35" s="30"/>
    </row>
    <row r="36" spans="6:10">
      <c r="F36" s="828" t="str">
        <f>"Set  Icc to "&amp;LT_TDC&amp;"A or higher as necessary"</f>
        <v>Set  Icc to 48A or higher as necessary</v>
      </c>
      <c r="G36" s="829"/>
      <c r="H36" s="829"/>
      <c r="I36" s="256"/>
      <c r="J36" s="30"/>
    </row>
    <row r="37" spans="6:10" ht="63.75">
      <c r="F37" s="402"/>
      <c r="G37" s="259" t="s">
        <v>181</v>
      </c>
      <c r="H37" s="259" t="s">
        <v>3</v>
      </c>
      <c r="I37" s="257"/>
      <c r="J37" s="30"/>
    </row>
    <row r="38" spans="6:10">
      <c r="F38" s="403"/>
      <c r="G38" s="767">
        <v>124</v>
      </c>
      <c r="H38" s="261"/>
      <c r="I38" s="258"/>
      <c r="J38" s="30"/>
    </row>
    <row r="39" spans="6:10">
      <c r="F39" s="404"/>
      <c r="G39" s="263" t="s">
        <v>21</v>
      </c>
      <c r="H39" s="262"/>
      <c r="I39" s="258"/>
      <c r="J39" s="30"/>
    </row>
    <row r="40" spans="6:10">
      <c r="F40" s="858" t="s">
        <v>180</v>
      </c>
      <c r="G40" s="859"/>
      <c r="H40" s="859"/>
      <c r="I40" s="258"/>
      <c r="J40" s="30"/>
    </row>
    <row r="41" spans="6:10">
      <c r="F41" s="29"/>
      <c r="G41" s="17"/>
      <c r="H41" s="17"/>
      <c r="I41" s="258"/>
      <c r="J41" s="30"/>
    </row>
    <row r="42" spans="6:10" ht="13.15" customHeight="1">
      <c r="F42" s="29"/>
      <c r="G42" s="17"/>
      <c r="H42" s="17"/>
      <c r="I42" s="17"/>
      <c r="J42" s="30"/>
    </row>
    <row r="43" spans="6:10" ht="13.15" customHeight="1">
      <c r="F43" s="29"/>
      <c r="G43" s="17"/>
      <c r="H43" s="17"/>
      <c r="I43" s="17"/>
      <c r="J43" s="30"/>
    </row>
    <row r="44" spans="6:10">
      <c r="F44" s="842" t="s">
        <v>182</v>
      </c>
      <c r="G44" s="843"/>
      <c r="H44" s="843"/>
      <c r="I44" s="844"/>
      <c r="J44" s="405" t="s">
        <v>51</v>
      </c>
    </row>
    <row r="45" spans="6:10" ht="13.5" thickBot="1">
      <c r="F45" s="845"/>
      <c r="G45" s="846"/>
      <c r="H45" s="846"/>
      <c r="I45" s="847"/>
      <c r="J45" s="111"/>
    </row>
  </sheetData>
  <protectedRanges>
    <protectedRange sqref="G24" name="Range1"/>
    <protectedRange sqref="G12:G15" name="Range1_1"/>
    <protectedRange sqref="G38" name="Range1_2"/>
  </protectedRanges>
  <mergeCells count="14">
    <mergeCell ref="F44:I45"/>
    <mergeCell ref="F31:I32"/>
    <mergeCell ref="F22:J25"/>
    <mergeCell ref="F27:I28"/>
    <mergeCell ref="F35:H35"/>
    <mergeCell ref="F36:H36"/>
    <mergeCell ref="F40:H40"/>
    <mergeCell ref="C1:I2"/>
    <mergeCell ref="F8:H8"/>
    <mergeCell ref="F9:H9"/>
    <mergeCell ref="F20:I20"/>
    <mergeCell ref="F17:H18"/>
    <mergeCell ref="F4:I5"/>
    <mergeCell ref="F10:H10"/>
  </mergeCells>
  <phoneticPr fontId="86" type="noConversion"/>
  <conditionalFormatting sqref="J20">
    <cfRule type="cellIs" dxfId="116" priority="8" stopIfTrue="1" operator="equal">
      <formula>"No"</formula>
    </cfRule>
    <cfRule type="cellIs" dxfId="115" priority="9" stopIfTrue="1" operator="equal">
      <formula>"Yes"</formula>
    </cfRule>
  </conditionalFormatting>
  <conditionalFormatting sqref="J44">
    <cfRule type="cellIs" dxfId="114" priority="4" stopIfTrue="1" operator="equal">
      <formula>"No"</formula>
    </cfRule>
    <cfRule type="cellIs" dxfId="113" priority="5" stopIfTrue="1" operator="equal">
      <formula>"Yes"</formula>
    </cfRule>
  </conditionalFormatting>
  <conditionalFormatting sqref="J27">
    <cfRule type="cellIs" dxfId="112" priority="1" stopIfTrue="1" operator="equal">
      <formula>"No"</formula>
    </cfRule>
    <cfRule type="cellIs" dxfId="111" priority="2" stopIfTrue="1" operator="equal">
      <formula>"Yes"</formula>
    </cfRule>
  </conditionalFormatting>
  <dataValidations count="1">
    <dataValidation type="list" allowBlank="1" showInputMessage="1" showErrorMessage="1" sqref="J27 J44 J20">
      <formula1>$B$21:$B$23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codeName="Sheet3">
    <tabColor rgb="FF00B0F0"/>
  </sheetPr>
  <dimension ref="A1:BI120"/>
  <sheetViews>
    <sheetView tabSelected="1" zoomScale="85" zoomScaleNormal="85" workbookViewId="0">
      <selection activeCell="T98" sqref="T98"/>
    </sheetView>
  </sheetViews>
  <sheetFormatPr defaultRowHeight="12.75"/>
  <cols>
    <col min="1" max="1" width="0.85546875" style="185" customWidth="1"/>
    <col min="2" max="2" width="0.85546875" style="507" customWidth="1"/>
    <col min="3" max="7" width="0.85546875" style="186" customWidth="1"/>
    <col min="8" max="10" width="0.85546875" style="507" customWidth="1"/>
    <col min="11" max="11" width="3.7109375" style="46" customWidth="1"/>
    <col min="12" max="12" width="5.42578125" style="46" customWidth="1"/>
    <col min="13" max="13" width="12.42578125" customWidth="1"/>
    <col min="14" max="14" width="11.85546875" customWidth="1"/>
    <col min="16" max="16" width="9.7109375" customWidth="1"/>
    <col min="17" max="18" width="10.140625" customWidth="1"/>
    <col min="19" max="19" width="9.7109375" customWidth="1"/>
    <col min="20" max="20" width="10" style="13" customWidth="1"/>
    <col min="21" max="21" width="8.28515625" customWidth="1"/>
    <col min="22" max="22" width="9.7109375" customWidth="1"/>
    <col min="23" max="25" width="4.140625" customWidth="1"/>
    <col min="27" max="27" width="5.85546875" customWidth="1"/>
    <col min="36" max="36" width="9.140625" style="17" customWidth="1"/>
    <col min="37" max="37" width="12.5703125" style="13" customWidth="1"/>
    <col min="57" max="57" width="3.28515625" customWidth="1"/>
    <col min="61" max="61" width="12.42578125" bestFit="1" customWidth="1"/>
  </cols>
  <sheetData>
    <row r="1" spans="1:61">
      <c r="Z1" s="126" t="s">
        <v>58</v>
      </c>
    </row>
    <row r="2" spans="1:61" ht="18" customHeight="1">
      <c r="D2" s="187"/>
      <c r="E2" s="187"/>
      <c r="F2" s="187"/>
      <c r="G2" s="187"/>
      <c r="K2" s="48"/>
      <c r="L2" s="47"/>
      <c r="M2" s="814" t="s">
        <v>0</v>
      </c>
      <c r="N2" s="815"/>
      <c r="O2" s="815"/>
      <c r="P2" s="815"/>
      <c r="Q2" s="815"/>
      <c r="R2" s="815"/>
      <c r="S2" s="815"/>
      <c r="T2" s="815"/>
      <c r="U2" s="815"/>
      <c r="V2" s="815"/>
      <c r="W2" s="815"/>
      <c r="X2" s="815"/>
      <c r="Y2" s="815"/>
      <c r="Z2" s="127" t="s">
        <v>51</v>
      </c>
    </row>
    <row r="3" spans="1:61" ht="10.5" customHeight="1">
      <c r="D3" s="187"/>
      <c r="E3" s="187"/>
      <c r="F3" s="187"/>
      <c r="G3" s="187"/>
      <c r="K3" s="48"/>
      <c r="L3" s="48"/>
      <c r="M3" s="814"/>
      <c r="N3" s="815"/>
      <c r="O3" s="815"/>
      <c r="P3" s="815"/>
      <c r="Q3" s="815"/>
      <c r="R3" s="815"/>
      <c r="S3" s="815"/>
      <c r="T3" s="815"/>
      <c r="U3" s="815"/>
      <c r="V3" s="815"/>
      <c r="W3" s="815"/>
      <c r="X3" s="815"/>
      <c r="Y3" s="815"/>
      <c r="Z3" s="128" t="s">
        <v>50</v>
      </c>
    </row>
    <row r="4" spans="1:61">
      <c r="C4" s="188"/>
      <c r="D4" s="187"/>
      <c r="E4" s="187"/>
      <c r="F4" s="187"/>
      <c r="G4" s="187"/>
      <c r="K4" s="48"/>
      <c r="L4" s="19"/>
      <c r="M4" s="19"/>
      <c r="N4" s="19"/>
      <c r="O4" s="19"/>
      <c r="P4" s="19"/>
      <c r="Q4" s="19"/>
      <c r="R4" s="19"/>
      <c r="S4" s="19"/>
      <c r="T4" s="20"/>
      <c r="U4" s="19"/>
      <c r="V4" s="19"/>
      <c r="W4" s="19"/>
      <c r="X4" s="19"/>
      <c r="Y4" s="19"/>
    </row>
    <row r="5" spans="1:61">
      <c r="C5" s="188"/>
      <c r="D5" s="187"/>
      <c r="E5" s="187"/>
      <c r="F5" s="187"/>
      <c r="G5" s="187"/>
      <c r="K5" s="48"/>
      <c r="L5" s="19"/>
      <c r="M5" s="19"/>
      <c r="N5" s="19"/>
      <c r="O5" s="19"/>
      <c r="P5" s="19"/>
      <c r="Q5" s="19"/>
      <c r="R5" s="19"/>
      <c r="S5" s="19"/>
      <c r="T5" s="20"/>
      <c r="U5" s="19"/>
      <c r="V5" s="19"/>
      <c r="W5" s="19"/>
      <c r="X5" s="19"/>
      <c r="Y5" s="19"/>
    </row>
    <row r="6" spans="1:61">
      <c r="C6" s="188"/>
      <c r="D6" s="187"/>
      <c r="E6" s="187"/>
      <c r="F6" s="187"/>
      <c r="G6" s="187"/>
      <c r="K6" s="508"/>
      <c r="L6" s="99"/>
      <c r="M6" s="99"/>
      <c r="N6" s="99"/>
      <c r="O6" s="99"/>
      <c r="P6" s="99"/>
      <c r="Q6" s="99"/>
      <c r="R6" s="99"/>
      <c r="S6" s="99"/>
      <c r="T6" s="90"/>
      <c r="U6" s="99"/>
      <c r="V6" s="99"/>
      <c r="W6" s="99"/>
      <c r="X6" s="99"/>
      <c r="Y6" s="99"/>
      <c r="Z6" s="89"/>
      <c r="AA6" s="89"/>
      <c r="AB6" s="89"/>
      <c r="AC6" s="89"/>
      <c r="AD6" s="89"/>
      <c r="AE6" s="89"/>
      <c r="AF6" s="89"/>
      <c r="AG6" s="89"/>
      <c r="AH6" s="89"/>
      <c r="AI6" s="89"/>
      <c r="AJ6" s="93"/>
      <c r="AK6" s="95"/>
      <c r="AL6" s="89"/>
      <c r="AM6" s="89"/>
      <c r="AN6" s="89"/>
      <c r="AO6" s="89"/>
      <c r="AP6" s="89"/>
      <c r="AQ6" s="89"/>
      <c r="AR6" s="89"/>
      <c r="AS6" s="89"/>
      <c r="AT6" s="89"/>
      <c r="AU6" s="89"/>
      <c r="AV6" s="89"/>
      <c r="AW6" s="89"/>
      <c r="AX6" s="89"/>
      <c r="AY6" s="89"/>
      <c r="AZ6" s="89"/>
      <c r="BA6" s="89"/>
      <c r="BB6" s="89"/>
      <c r="BC6" s="89"/>
      <c r="BD6" s="89"/>
      <c r="BE6" s="89"/>
    </row>
    <row r="7" spans="1:61" ht="13.5" thickBot="1">
      <c r="C7" s="188"/>
      <c r="D7" s="187"/>
      <c r="E7" s="187"/>
      <c r="F7" s="187"/>
      <c r="G7" s="187"/>
      <c r="K7" s="508"/>
      <c r="L7" s="19"/>
      <c r="M7" s="19"/>
      <c r="N7" s="19"/>
      <c r="O7" s="19"/>
      <c r="P7" s="19"/>
      <c r="Q7" s="19"/>
      <c r="R7" s="19"/>
      <c r="S7" s="19"/>
      <c r="T7" s="20"/>
      <c r="U7" s="19"/>
      <c r="V7" s="19"/>
      <c r="W7" s="19"/>
      <c r="X7" s="19"/>
      <c r="Y7" s="19"/>
      <c r="BE7" s="89"/>
    </row>
    <row r="8" spans="1:61" ht="31.5" customHeight="1">
      <c r="C8" s="188"/>
      <c r="D8" s="187"/>
      <c r="E8" s="187"/>
      <c r="F8" s="187"/>
      <c r="G8" s="187"/>
      <c r="K8" s="508"/>
      <c r="L8" s="19"/>
      <c r="M8" s="838" t="s">
        <v>61</v>
      </c>
      <c r="N8" s="839"/>
      <c r="O8" s="839"/>
      <c r="P8" s="839"/>
      <c r="Q8" s="839"/>
      <c r="R8" s="839"/>
      <c r="S8" s="839"/>
      <c r="T8" s="922"/>
      <c r="U8" s="34"/>
      <c r="V8" s="34"/>
      <c r="W8" s="34"/>
      <c r="X8" s="34"/>
      <c r="Y8" s="34"/>
      <c r="Z8" s="34"/>
      <c r="BE8" s="89"/>
    </row>
    <row r="9" spans="1:61" ht="13.5" thickBot="1">
      <c r="C9" s="188"/>
      <c r="D9" s="187"/>
      <c r="E9" s="187"/>
      <c r="F9" s="187"/>
      <c r="G9" s="187"/>
      <c r="K9" s="508"/>
      <c r="L9" s="19"/>
      <c r="M9" s="893" t="str">
        <f>"VID set to "&amp;VID_1&amp;"V"</f>
        <v>VID set to 0.9V</v>
      </c>
      <c r="N9" s="893"/>
      <c r="O9" s="893" t="s">
        <v>98</v>
      </c>
      <c r="P9" s="893"/>
      <c r="Q9" s="175"/>
      <c r="R9" s="175"/>
      <c r="S9" s="175"/>
      <c r="T9" s="176"/>
      <c r="U9" s="35"/>
      <c r="V9" s="35"/>
      <c r="W9" s="35"/>
      <c r="X9" s="35"/>
      <c r="Y9" s="35"/>
      <c r="Z9" s="35"/>
      <c r="AK9" s="20"/>
      <c r="BE9" s="89"/>
    </row>
    <row r="10" spans="1:61" ht="38.25" customHeight="1">
      <c r="A10" s="189" t="s">
        <v>107</v>
      </c>
      <c r="B10" s="185" t="s">
        <v>105</v>
      </c>
      <c r="C10" s="188" t="s">
        <v>33</v>
      </c>
      <c r="D10" s="187" t="str">
        <f>"Max LL Slope"</f>
        <v>Max LL Slope</v>
      </c>
      <c r="E10" s="187" t="s">
        <v>97</v>
      </c>
      <c r="F10" s="187" t="s">
        <v>108</v>
      </c>
      <c r="G10" s="187" t="s">
        <v>109</v>
      </c>
      <c r="H10" s="185" t="s">
        <v>106</v>
      </c>
      <c r="I10" s="189" t="s">
        <v>48</v>
      </c>
      <c r="J10" s="189"/>
      <c r="K10" s="508"/>
      <c r="L10" s="19"/>
      <c r="M10" s="174" t="s">
        <v>48</v>
      </c>
      <c r="N10" s="33" t="s">
        <v>43</v>
      </c>
      <c r="O10" s="33" t="s">
        <v>46</v>
      </c>
      <c r="P10" s="33" t="s">
        <v>44</v>
      </c>
      <c r="Q10" s="33" t="s">
        <v>45</v>
      </c>
      <c r="R10" s="365" t="s">
        <v>292</v>
      </c>
      <c r="S10" s="74" t="s">
        <v>23</v>
      </c>
      <c r="T10" s="54" t="s">
        <v>47</v>
      </c>
      <c r="AI10" s="865" t="s">
        <v>66</v>
      </c>
      <c r="AJ10" s="866"/>
      <c r="AK10" s="867"/>
      <c r="AM10" s="886" t="s">
        <v>64</v>
      </c>
      <c r="AN10" s="887"/>
      <c r="AO10" s="888"/>
      <c r="BE10" s="89"/>
      <c r="BI10" s="675"/>
    </row>
    <row r="11" spans="1:61">
      <c r="A11" s="190">
        <f>N11</f>
        <v>0.90300000000000002</v>
      </c>
      <c r="B11" s="185">
        <f>VID_1+(V_TOB_IMAX_in_PS0+Ripple_PS0)*0.001</f>
        <v>0.93500000000000005</v>
      </c>
      <c r="C11" s="191">
        <f>IF('Spec Entry'!G28="Design Validation","",N11)</f>
        <v>0.90300000000000002</v>
      </c>
      <c r="D11" s="191">
        <f>IF('Spec Entry'!$G$28="Design Validation","",N11)</f>
        <v>0.90300000000000002</v>
      </c>
      <c r="E11" s="191" t="str">
        <f>IF('Spec Entry'!$G$28="HVM Validation","",N11)</f>
        <v/>
      </c>
      <c r="F11" s="191">
        <f>N11+(O11*0.001)/2</f>
        <v>0.91260000000000008</v>
      </c>
      <c r="G11" s="191">
        <f>N11-(O11*0.001)/2</f>
        <v>0.89339999999999997</v>
      </c>
      <c r="H11" s="185">
        <f>VID_1-(V_TOB_IMAX_in_PS0+Ripple_PS0)*0.001</f>
        <v>0.86499999999999999</v>
      </c>
      <c r="I11" s="185"/>
      <c r="J11" s="185"/>
      <c r="K11" s="100"/>
      <c r="L11" s="49"/>
      <c r="M11" s="173">
        <v>0</v>
      </c>
      <c r="N11" s="763">
        <v>0.90300000000000002</v>
      </c>
      <c r="O11" s="764">
        <v>19.2</v>
      </c>
      <c r="P11" s="765"/>
      <c r="Q11" s="765"/>
      <c r="R11" s="766">
        <v>0</v>
      </c>
      <c r="S11" s="67"/>
      <c r="T11" s="81" t="e">
        <f>(N11*M11)/(P11*Q11)</f>
        <v>#DIV/0!</v>
      </c>
      <c r="AI11" s="868"/>
      <c r="AJ11" s="869"/>
      <c r="AK11" s="870"/>
      <c r="AM11" s="889"/>
      <c r="AN11" s="890"/>
      <c r="AO11" s="891"/>
      <c r="BE11" s="89"/>
      <c r="BI11" s="676"/>
    </row>
    <row r="12" spans="1:61">
      <c r="A12" s="185">
        <f>$A$11-MAX('Transient LL'!$I$21,'Transient LL'!$I$59)*(M12-$M$11)*0.001</f>
        <v>0.89903520000000003</v>
      </c>
      <c r="B12" s="185">
        <f>$B$11-((M12-$M$11)*ABS(R_DC_LL)*0.001)</f>
        <v>0.93140000000000001</v>
      </c>
      <c r="C12" s="192">
        <f t="shared" ref="C12:C22" si="0">IF($C$11=$N$11,$N$11-((M12-$M$11)*(R_LL_MIN*0.001)),"")</f>
        <v>0.89982857142857142</v>
      </c>
      <c r="D12" s="187">
        <f t="shared" ref="D12:D22" si="1">IF($D$11=$N$11,$N$11-((M12-$M$11)*(R_LL_MAX*0.001)),"")</f>
        <v>0.89897142857142864</v>
      </c>
      <c r="E12" s="191" t="str">
        <f t="shared" ref="E12:E22" si="2">IF($E$11=$N$11,$E$11-(R_DC_LL*0.001*(M12-$M$11)),"")</f>
        <v/>
      </c>
      <c r="F12" s="191">
        <f t="shared" ref="F12:F21" si="3">N12+(O12*0.001)/2</f>
        <v>0.90990000000000004</v>
      </c>
      <c r="G12" s="191">
        <f t="shared" ref="G12:G21" si="4">N12-(O12*0.001)/2</f>
        <v>0.88950000000000007</v>
      </c>
      <c r="H12" s="185">
        <f>$H$11-((M12-$M$11)*ABS(R_DC_LL)*0.001)</f>
        <v>0.86139999999999994</v>
      </c>
      <c r="I12" s="575">
        <v>2</v>
      </c>
      <c r="J12" s="185"/>
      <c r="K12" s="509"/>
      <c r="L12" s="45"/>
      <c r="M12" s="173">
        <f>I12</f>
        <v>2</v>
      </c>
      <c r="N12" s="763">
        <v>0.89970000000000006</v>
      </c>
      <c r="O12" s="764">
        <v>20.399999999999999</v>
      </c>
      <c r="P12" s="765"/>
      <c r="Q12" s="765"/>
      <c r="R12" s="766">
        <v>5</v>
      </c>
      <c r="S12" s="75">
        <f>($N$11-N12)/(M12-$M$11)*1000</f>
        <v>1.6499999999999848</v>
      </c>
      <c r="T12" s="81" t="e">
        <f t="shared" ref="T12:T22" si="5">(N12*M12)/(P12*Q12)</f>
        <v>#DIV/0!</v>
      </c>
      <c r="AI12" s="871" t="s">
        <v>30</v>
      </c>
      <c r="AJ12" s="872"/>
      <c r="AK12" s="68">
        <f>N11</f>
        <v>0.90300000000000002</v>
      </c>
      <c r="AM12" s="873" t="s">
        <v>28</v>
      </c>
      <c r="AN12" s="874"/>
      <c r="AO12" s="25">
        <f>VID_1-(R_DC_LL*0.001*M11)-(V_TOB_Imin*0.001)</f>
        <v>0.89500000000000002</v>
      </c>
      <c r="BE12" s="89"/>
      <c r="BI12" s="676"/>
    </row>
    <row r="13" spans="1:61">
      <c r="A13" s="185">
        <f>$A$11-MAX('Transient LL'!$I$21,'Transient LL'!$I$59)*(M13-$M$11)*0.001</f>
        <v>0.89110559999999994</v>
      </c>
      <c r="B13" s="185">
        <f t="shared" ref="B13:B22" si="6">$B$11-((M13-$M$11)*ABS(R_DC_LL)*0.001)</f>
        <v>0.92420000000000002</v>
      </c>
      <c r="C13" s="192">
        <f t="shared" si="0"/>
        <v>0.89348571428571433</v>
      </c>
      <c r="D13" s="187">
        <f t="shared" si="1"/>
        <v>0.89091428571428577</v>
      </c>
      <c r="E13" s="191" t="str">
        <f t="shared" si="2"/>
        <v/>
      </c>
      <c r="F13" s="191">
        <f t="shared" si="3"/>
        <v>0.90239999999999998</v>
      </c>
      <c r="G13" s="191">
        <f t="shared" si="4"/>
        <v>0.88239999999999996</v>
      </c>
      <c r="H13" s="185">
        <f t="shared" ref="H13:H22" si="7">$H$11-((M13-$M$11)*ABS(R_DC_LL)*0.001)</f>
        <v>0.85419999999999996</v>
      </c>
      <c r="I13" s="575">
        <f>+IF((I12+(IF((IF(VR_TDC&lt;12,10,ROUND((1-((VR_TDC-2)/10-TRUNC((VR_TDC-2)/10)))*10,0)))&lt;1,1,0)+(IF(INT((VR_TDC-2)/10)&lt;1,1,INT((VR_TDC-2)/10)))))&gt;VR_TDC,NA(),(I12+(IF((IF(VR_TDC&lt;12,10,ROUND((1-((VR_TDC-2)/10-TRUNC((VR_TDC-2)/10)))*10,0)))&lt;1,1,0)+(IF(INT((VR_TDC-2)/10)&lt;1,1,INT((VR_TDC-2)/10))))))</f>
        <v>6</v>
      </c>
      <c r="J13" s="185"/>
      <c r="K13" s="509"/>
      <c r="L13" s="45"/>
      <c r="M13" s="173">
        <f t="shared" ref="M13:M22" si="8">I13</f>
        <v>6</v>
      </c>
      <c r="N13" s="763">
        <v>0.89239999999999997</v>
      </c>
      <c r="O13" s="764">
        <v>20</v>
      </c>
      <c r="P13" s="765"/>
      <c r="Q13" s="765"/>
      <c r="R13" s="766">
        <v>14</v>
      </c>
      <c r="S13" s="75">
        <f>($N$11-N13)/(M13-$M$11)*1000</f>
        <v>1.7666666666666757</v>
      </c>
      <c r="T13" s="81" t="e">
        <f t="shared" si="5"/>
        <v>#DIV/0!</v>
      </c>
      <c r="AI13" s="29"/>
      <c r="AK13" s="32"/>
      <c r="AM13" s="873" t="s">
        <v>29</v>
      </c>
      <c r="AN13" s="874"/>
      <c r="AO13" s="25">
        <f>VID_1-(R_DC_LL*0.001*M11)+(V_TOB_Imin*0.001)</f>
        <v>0.90500000000000003</v>
      </c>
      <c r="BE13" s="89"/>
      <c r="BI13" s="676"/>
    </row>
    <row r="14" spans="1:61">
      <c r="A14" s="185">
        <f>$A$11-MAX('Transient LL'!$I$21,'Transient LL'!$I$59)*(M14-$M$11)*0.001</f>
        <v>0.88317599999999996</v>
      </c>
      <c r="B14" s="185">
        <f t="shared" si="6"/>
        <v>0.91700000000000004</v>
      </c>
      <c r="C14" s="192">
        <f t="shared" si="0"/>
        <v>0.88714285714285712</v>
      </c>
      <c r="D14" s="187">
        <f t="shared" si="1"/>
        <v>0.8828571428571429</v>
      </c>
      <c r="E14" s="191" t="str">
        <f t="shared" si="2"/>
        <v/>
      </c>
      <c r="F14" s="191">
        <f t="shared" si="3"/>
        <v>0.89549999999999996</v>
      </c>
      <c r="G14" s="191">
        <f t="shared" si="4"/>
        <v>0.87509999999999999</v>
      </c>
      <c r="H14" s="185">
        <f t="shared" si="7"/>
        <v>0.84699999999999998</v>
      </c>
      <c r="I14" s="575">
        <f>+IF((I13+(IF((IF(VR_TDC&lt;12,10,ROUND((1-((VR_TDC-2)/10-TRUNC((VR_TDC-2)/10)))*10,0)))&lt;2,1,0)+(IF(INT((VR_TDC-2)/10)&lt;1,1,INT((VR_TDC-2)/10)))))&gt;VR_TDC,NA(),(I13+(IF((IF(VR_TDC&lt;12,10,ROUND((1-((VR_TDC-2)/10-TRUNC((VR_TDC-2)/10)))*10,0)))&lt;2,1,0)+(IF(INT((VR_TDC-2)/10)&lt;1,1,INT((VR_TDC-2)/10))))))</f>
        <v>10</v>
      </c>
      <c r="J14" s="185"/>
      <c r="K14" s="509"/>
      <c r="L14" s="45"/>
      <c r="M14" s="173">
        <f t="shared" si="8"/>
        <v>10</v>
      </c>
      <c r="N14" s="763">
        <v>0.88529999999999998</v>
      </c>
      <c r="O14" s="764">
        <v>20.399999999999999</v>
      </c>
      <c r="P14" s="765"/>
      <c r="Q14" s="765"/>
      <c r="R14" s="766">
        <v>23</v>
      </c>
      <c r="S14" s="75">
        <f t="shared" ref="S14:S22" si="9">($N$11-N14)/(M14-$M$11)*1000</f>
        <v>1.7700000000000049</v>
      </c>
      <c r="T14" s="81" t="e">
        <f t="shared" si="5"/>
        <v>#DIV/0!</v>
      </c>
      <c r="AI14" s="29"/>
      <c r="AK14" s="32"/>
      <c r="AM14" s="26"/>
      <c r="AN14" s="24"/>
      <c r="AO14" s="27"/>
      <c r="BE14" s="89"/>
      <c r="BI14" s="676"/>
    </row>
    <row r="15" spans="1:61">
      <c r="A15" s="185">
        <f>$A$11-MAX('Transient LL'!$I$21,'Transient LL'!$I$59)*(M15-$M$11)*0.001</f>
        <v>0.87524639999999998</v>
      </c>
      <c r="B15" s="185">
        <f t="shared" si="6"/>
        <v>0.90980000000000005</v>
      </c>
      <c r="C15" s="192">
        <f t="shared" si="0"/>
        <v>0.88080000000000003</v>
      </c>
      <c r="D15" s="187">
        <f t="shared" si="1"/>
        <v>0.87480000000000002</v>
      </c>
      <c r="E15" s="191" t="str">
        <f t="shared" si="2"/>
        <v/>
      </c>
      <c r="F15" s="191">
        <f t="shared" si="3"/>
        <v>0.8881</v>
      </c>
      <c r="G15" s="191">
        <f t="shared" si="4"/>
        <v>0.86809999999999998</v>
      </c>
      <c r="H15" s="185">
        <f t="shared" si="7"/>
        <v>0.83979999999999999</v>
      </c>
      <c r="I15" s="575">
        <f>+IF((I14+(IF((IF(VR_TDC&lt;12,10,ROUND((1-((VR_TDC-2)/10-TRUNC((VR_TDC-2)/10)))*10,0)))&lt;3,1,0)+(IF(INT((VR_TDC-2)/10)&lt;1,1,INT((VR_TDC-2)/10)))))&gt;VR_TDC,NA(),(I14+(IF((IF(VR_TDC&lt;12,10,ROUND((1-((VR_TDC-2)/10-TRUNC((VR_TDC-2)/10)))*10,0)))&lt;3,1,0)+(IF(INT((VR_TDC-2)/10)&lt;1,1,INT((VR_TDC-2)/10))))))</f>
        <v>14</v>
      </c>
      <c r="J15" s="185"/>
      <c r="K15" s="509"/>
      <c r="L15" s="45"/>
      <c r="M15" s="173">
        <f t="shared" si="8"/>
        <v>14</v>
      </c>
      <c r="N15" s="763">
        <v>0.87809999999999999</v>
      </c>
      <c r="O15" s="764">
        <v>20</v>
      </c>
      <c r="P15" s="765"/>
      <c r="Q15" s="765"/>
      <c r="R15" s="766">
        <v>32</v>
      </c>
      <c r="S15" s="75">
        <f t="shared" si="9"/>
        <v>1.7785714285714309</v>
      </c>
      <c r="T15" s="81" t="e">
        <f t="shared" si="5"/>
        <v>#DIV/0!</v>
      </c>
      <c r="AI15" s="29"/>
      <c r="AK15" s="32"/>
      <c r="AM15" s="28"/>
      <c r="AN15" s="23"/>
      <c r="AO15" s="27"/>
      <c r="BE15" s="89"/>
      <c r="BI15" s="676"/>
    </row>
    <row r="16" spans="1:61">
      <c r="A16" s="185">
        <f>$A$11-MAX('Transient LL'!$I$21,'Transient LL'!$I$59)*(M16-$M$11)*0.001</f>
        <v>0.86731679999999989</v>
      </c>
      <c r="B16" s="185">
        <f t="shared" si="6"/>
        <v>0.90260000000000007</v>
      </c>
      <c r="C16" s="192">
        <f t="shared" si="0"/>
        <v>0.87445714285714293</v>
      </c>
      <c r="D16" s="187">
        <f t="shared" si="1"/>
        <v>0.86674285714285715</v>
      </c>
      <c r="E16" s="191" t="str">
        <f t="shared" si="2"/>
        <v/>
      </c>
      <c r="F16" s="191">
        <f t="shared" si="3"/>
        <v>0.88080000000000003</v>
      </c>
      <c r="G16" s="191">
        <f t="shared" si="4"/>
        <v>0.86080000000000001</v>
      </c>
      <c r="H16" s="185">
        <f t="shared" si="7"/>
        <v>0.83260000000000001</v>
      </c>
      <c r="I16" s="575">
        <f>+IF((I15+(IF((IF(VR_TDC&lt;12,10,ROUND((1-((VR_TDC-2)/10-TRUNC((VR_TDC-2)/10)))*10,0)))&lt;4,1,0)+(IF(INT((VR_TDC-2)/10)&lt;1,1,INT((VR_TDC-2)/10)))))&gt;VR_TDC,NA(),(I15+(IF((IF(VR_TDC&lt;12,10,ROUND((1-((VR_TDC-2)/10-TRUNC((VR_TDC-2)/10)))*10,0)))&lt;4,1,0)+(IF(INT((VR_TDC-2)/10)&lt;1,1,INT((VR_TDC-2)/10))))))</f>
        <v>18</v>
      </c>
      <c r="J16" s="185"/>
      <c r="K16" s="509"/>
      <c r="L16" s="45"/>
      <c r="M16" s="173">
        <f t="shared" si="8"/>
        <v>18</v>
      </c>
      <c r="N16" s="763">
        <v>0.87080000000000002</v>
      </c>
      <c r="O16" s="764">
        <v>20</v>
      </c>
      <c r="P16" s="765"/>
      <c r="Q16" s="765"/>
      <c r="R16" s="766">
        <v>41</v>
      </c>
      <c r="S16" s="75">
        <f t="shared" si="9"/>
        <v>1.7888888888888894</v>
      </c>
      <c r="T16" s="81" t="e">
        <f t="shared" si="5"/>
        <v>#DIV/0!</v>
      </c>
      <c r="AI16" s="871" t="s">
        <v>24</v>
      </c>
      <c r="AJ16" s="872"/>
      <c r="AK16" s="149">
        <f>AVERAGE(S13:S22)</f>
        <v>1.7894834691441066</v>
      </c>
      <c r="AM16" s="905" t="s">
        <v>212</v>
      </c>
      <c r="AN16" s="874"/>
      <c r="AO16" s="148">
        <f>R_DC_LL</f>
        <v>1.8</v>
      </c>
      <c r="BE16" s="89"/>
      <c r="BI16" s="676"/>
    </row>
    <row r="17" spans="1:61">
      <c r="A17" s="185">
        <f>$A$11-MAX('Transient LL'!$I$21,'Transient LL'!$I$59)*(M17-$M$11)*0.001</f>
        <v>0.85740479999999986</v>
      </c>
      <c r="B17" s="185">
        <f t="shared" si="6"/>
        <v>0.89360000000000006</v>
      </c>
      <c r="C17" s="192">
        <f t="shared" si="0"/>
        <v>0.86652857142857143</v>
      </c>
      <c r="D17" s="187">
        <f t="shared" si="1"/>
        <v>0.85667142857142864</v>
      </c>
      <c r="E17" s="191" t="str">
        <f t="shared" si="2"/>
        <v/>
      </c>
      <c r="F17" s="191">
        <f t="shared" si="3"/>
        <v>0.87170000000000003</v>
      </c>
      <c r="G17" s="191">
        <f t="shared" si="4"/>
        <v>0.85209999999999997</v>
      </c>
      <c r="H17" s="185">
        <f t="shared" si="7"/>
        <v>0.8236</v>
      </c>
      <c r="I17" s="575">
        <f>+IF((I16+(IF((IF(VR_TDC&lt;12,10,ROUND((1-((VR_TDC-2)/10-TRUNC((VR_TDC-2)/10)))*10,0)))&lt;5,1,0)+(IF(INT((VR_TDC-2)/10)&lt;1,1,INT((VR_TDC-2)/10)))))&gt;VR_TDC,NA(),(I16+(IF((IF(VR_TDC&lt;12,10,ROUND((1-((VR_TDC-2)/10-TRUNC((VR_TDC-2)/10)))*10,0)))&lt;5,1,0)+(IF(INT((VR_TDC-2)/10)&lt;1,1,INT((VR_TDC-2)/10))))))</f>
        <v>23</v>
      </c>
      <c r="J17" s="185"/>
      <c r="K17" s="509"/>
      <c r="L17" s="45"/>
      <c r="M17" s="173">
        <f t="shared" si="8"/>
        <v>23</v>
      </c>
      <c r="N17" s="763">
        <v>0.8619</v>
      </c>
      <c r="O17" s="764">
        <v>19.600000000000001</v>
      </c>
      <c r="P17" s="765"/>
      <c r="Q17" s="765"/>
      <c r="R17" s="766">
        <v>54</v>
      </c>
      <c r="S17" s="75">
        <f t="shared" si="9"/>
        <v>1.7869565217391317</v>
      </c>
      <c r="T17" s="81" t="e">
        <f t="shared" si="5"/>
        <v>#DIV/0!</v>
      </c>
      <c r="AI17" s="871" t="s">
        <v>25</v>
      </c>
      <c r="AJ17" s="872"/>
      <c r="AK17" s="147">
        <f>MAX(S13:S22)</f>
        <v>1.8083333333333331</v>
      </c>
      <c r="AM17" s="873"/>
      <c r="AN17" s="874"/>
      <c r="AO17" s="148"/>
      <c r="BE17" s="89"/>
      <c r="BI17" s="676"/>
    </row>
    <row r="18" spans="1:61">
      <c r="A18" s="185">
        <f>$A$11-MAX('Transient LL'!$I$21,'Transient LL'!$I$59)*(M18-$M$11)*0.001</f>
        <v>0.84749279999999982</v>
      </c>
      <c r="B18" s="185">
        <f t="shared" si="6"/>
        <v>0.88460000000000005</v>
      </c>
      <c r="C18" s="192">
        <f t="shared" si="0"/>
        <v>0.85860000000000003</v>
      </c>
      <c r="D18" s="187">
        <f t="shared" si="1"/>
        <v>0.84660000000000002</v>
      </c>
      <c r="E18" s="191" t="str">
        <f t="shared" si="2"/>
        <v/>
      </c>
      <c r="F18" s="191">
        <f t="shared" si="3"/>
        <v>0.86309999999999998</v>
      </c>
      <c r="G18" s="191">
        <f t="shared" si="4"/>
        <v>0.84230000000000005</v>
      </c>
      <c r="H18" s="185">
        <f t="shared" si="7"/>
        <v>0.81459999999999999</v>
      </c>
      <c r="I18" s="575">
        <f>+IF((I17+(IF((IF(VR_TDC&lt;12,10,ROUND((1-((VR_TDC-2)/10-TRUNC((VR_TDC-2)/10)))*10,0)))&lt;6,1,0)+(IF(INT((VR_TDC-2)/10)&lt;1,1,INT((VR_TDC-2)/10)))))&gt;VR_TDC,NA(),(I17+(IF((IF(VR_TDC&lt;12,10,ROUND((1-((VR_TDC-2)/10-TRUNC((VR_TDC-2)/10)))*10,0)))&lt;6,1,0)+(IF(INT((VR_TDC-2)/10)&lt;1,1,INT((VR_TDC-2)/10))))))</f>
        <v>28</v>
      </c>
      <c r="J18" s="185"/>
      <c r="K18" s="509"/>
      <c r="L18" s="45"/>
      <c r="M18" s="173">
        <f t="shared" si="8"/>
        <v>28</v>
      </c>
      <c r="N18" s="763">
        <v>0.85270000000000001</v>
      </c>
      <c r="O18" s="764">
        <v>20.8</v>
      </c>
      <c r="P18" s="765"/>
      <c r="Q18" s="765"/>
      <c r="R18" s="766">
        <v>67</v>
      </c>
      <c r="S18" s="75">
        <f t="shared" si="9"/>
        <v>1.7964285714285719</v>
      </c>
      <c r="T18" s="81" t="e">
        <f t="shared" si="5"/>
        <v>#DIV/0!</v>
      </c>
      <c r="AI18" s="873" t="s">
        <v>26</v>
      </c>
      <c r="AJ18" s="874"/>
      <c r="AK18" s="147">
        <f>MIN(S13:S22)</f>
        <v>1.7666666666666757</v>
      </c>
      <c r="AM18" s="29"/>
      <c r="AN18" s="17"/>
      <c r="AO18" s="30"/>
      <c r="BE18" s="89"/>
      <c r="BI18" s="676"/>
    </row>
    <row r="19" spans="1:61">
      <c r="A19" s="185">
        <f>$A$11-MAX('Transient LL'!$I$21,'Transient LL'!$I$59)*(M19-$M$11)*0.001</f>
        <v>0.83758079999999979</v>
      </c>
      <c r="B19" s="185">
        <f t="shared" si="6"/>
        <v>0.87560000000000004</v>
      </c>
      <c r="C19" s="192">
        <f t="shared" si="0"/>
        <v>0.85067142857142863</v>
      </c>
      <c r="D19" s="187">
        <f t="shared" si="1"/>
        <v>0.8365285714285714</v>
      </c>
      <c r="E19" s="191" t="str">
        <f t="shared" si="2"/>
        <v/>
      </c>
      <c r="F19" s="191">
        <f t="shared" si="3"/>
        <v>0.85370000000000001</v>
      </c>
      <c r="G19" s="191">
        <f t="shared" si="4"/>
        <v>0.8337</v>
      </c>
      <c r="H19" s="185">
        <f t="shared" si="7"/>
        <v>0.80559999999999998</v>
      </c>
      <c r="I19" s="575">
        <f>+IF((I18+(IF((IF(VR_TDC&lt;12,10,ROUND((1-((VR_TDC-2)/10-TRUNC((VR_TDC-2)/10)))*10,0)))&lt;7,1,0)+(IF(INT((VR_TDC-2)/10)&lt;1,1,INT((VR_TDC-2)/10)))))&gt;VR_TDC,NA(),(I18+(IF((IF(VR_TDC&lt;12,10,ROUND((1-((VR_TDC-2)/10-TRUNC((VR_TDC-2)/10)))*10,0)))&lt;7,1,0)+(IF(INT((VR_TDC-2)/10)&lt;1,1,INT((VR_TDC-2)/10))))))</f>
        <v>33</v>
      </c>
      <c r="J19" s="185"/>
      <c r="K19" s="509"/>
      <c r="L19" s="45"/>
      <c r="M19" s="173">
        <f t="shared" si="8"/>
        <v>33</v>
      </c>
      <c r="N19" s="763">
        <v>0.84370000000000001</v>
      </c>
      <c r="O19" s="764">
        <v>20</v>
      </c>
      <c r="P19" s="765"/>
      <c r="Q19" s="765"/>
      <c r="R19" s="766" t="s">
        <v>545</v>
      </c>
      <c r="S19" s="75">
        <f t="shared" si="9"/>
        <v>1.7969696969696975</v>
      </c>
      <c r="T19" s="81" t="e">
        <f t="shared" si="5"/>
        <v>#DIV/0!</v>
      </c>
      <c r="AI19" s="29"/>
      <c r="AK19" s="32"/>
      <c r="AM19" s="29"/>
      <c r="AN19" s="17"/>
      <c r="AO19" s="30"/>
      <c r="BE19" s="89"/>
      <c r="BI19" s="676"/>
    </row>
    <row r="20" spans="1:61">
      <c r="A20" s="185">
        <f>$A$11-MAX('Transient LL'!$I$21,'Transient LL'!$I$59)*(M20-$M$11)*0.001</f>
        <v>0.82766879999999976</v>
      </c>
      <c r="B20" s="185">
        <f t="shared" si="6"/>
        <v>0.86660000000000004</v>
      </c>
      <c r="C20" s="192">
        <f t="shared" si="0"/>
        <v>0.84274285714285713</v>
      </c>
      <c r="D20" s="187">
        <f t="shared" si="1"/>
        <v>0.82645714285714289</v>
      </c>
      <c r="E20" s="191" t="str">
        <f t="shared" si="2"/>
        <v/>
      </c>
      <c r="F20" s="191">
        <f t="shared" si="3"/>
        <v>0.84489999999999998</v>
      </c>
      <c r="G20" s="191">
        <f t="shared" si="4"/>
        <v>0.82450000000000001</v>
      </c>
      <c r="H20" s="185">
        <f t="shared" si="7"/>
        <v>0.79659999999999997</v>
      </c>
      <c r="I20" s="575">
        <f>+IF((I19+(IF((IF(VR_TDC&lt;12,10,ROUND((1-((VR_TDC-2)/10-TRUNC((VR_TDC-2)/10)))*10,0)))&lt;8,1,0)+(IF(INT((VR_TDC-2)/10)&lt;1,1,INT((VR_TDC-2)/10)))))&gt;VR_TDC,NA(),(I19+(IF((IF(VR_TDC&lt;12,10,ROUND((1-((VR_TDC-2)/10-TRUNC((VR_TDC-2)/10)))*10,0)))&lt;8,1,0)+(IF(INT((VR_TDC-2)/10)&lt;1,1,INT((VR_TDC-2)/10))))))</f>
        <v>38</v>
      </c>
      <c r="J20" s="185"/>
      <c r="K20" s="509"/>
      <c r="L20" s="45"/>
      <c r="M20" s="173">
        <f t="shared" si="8"/>
        <v>38</v>
      </c>
      <c r="N20" s="763">
        <v>0.8347</v>
      </c>
      <c r="O20" s="764">
        <v>20.399999999999999</v>
      </c>
      <c r="P20" s="765"/>
      <c r="Q20" s="765"/>
      <c r="R20" s="766" t="s">
        <v>546</v>
      </c>
      <c r="S20" s="75">
        <f t="shared" si="9"/>
        <v>1.7973684210526324</v>
      </c>
      <c r="T20" s="81" t="e">
        <f t="shared" si="5"/>
        <v>#DIV/0!</v>
      </c>
      <c r="AI20" s="873" t="s">
        <v>54</v>
      </c>
      <c r="AJ20" s="874"/>
      <c r="AK20" s="169" t="e">
        <f>VLOOKUP(VR_TDC,'Static LL'!M11:T22,8,TRUE)</f>
        <v>#DIV/0!</v>
      </c>
      <c r="AM20" s="873" t="s">
        <v>47</v>
      </c>
      <c r="AN20" s="874"/>
      <c r="AO20" s="98">
        <f>Eff</f>
        <v>0.75</v>
      </c>
      <c r="BE20" s="89"/>
      <c r="BI20" s="676"/>
    </row>
    <row r="21" spans="1:61">
      <c r="A21" s="185">
        <f>$A$11-MAX('Transient LL'!$I$21,'Transient LL'!$I$59)*(M21-$M$11)*0.001</f>
        <v>0.81775679999999973</v>
      </c>
      <c r="B21" s="185">
        <f t="shared" si="6"/>
        <v>0.85760000000000003</v>
      </c>
      <c r="C21" s="192">
        <f t="shared" si="0"/>
        <v>0.83481428571428573</v>
      </c>
      <c r="D21" s="187">
        <f t="shared" si="1"/>
        <v>0.81638571428571427</v>
      </c>
      <c r="E21" s="191" t="str">
        <f t="shared" si="2"/>
        <v/>
      </c>
      <c r="F21" s="191">
        <f t="shared" si="3"/>
        <v>0.83510000000000006</v>
      </c>
      <c r="G21" s="191">
        <f t="shared" si="4"/>
        <v>0.81569999999999998</v>
      </c>
      <c r="H21" s="185">
        <f t="shared" si="7"/>
        <v>0.78759999999999997</v>
      </c>
      <c r="I21" s="575">
        <f>+IF((I20+(IF((IF(VR_TDC&lt;12,10,ROUND((1-((VR_TDC-2)/10-TRUNC((VR_TDC-2)/10)))*10,0)))&lt;9,1,0)+(IF(INT((VR_TDC-2)/10)&lt;1,1,INT((VR_TDC-2)/10)))))&gt;VR_TDC,NA(),(I20+(IF((IF(VR_TDC&lt;12,10,ROUND((1-((VR_TDC-2)/10-TRUNC((VR_TDC-2)/10)))*10,0)))&lt;9,1,0)+(IF(INT((VR_TDC-2)/10)&lt;1,1,INT((VR_TDC-2)/10))))))</f>
        <v>43</v>
      </c>
      <c r="J21" s="185"/>
      <c r="K21" s="509"/>
      <c r="L21" s="45"/>
      <c r="M21" s="173">
        <f t="shared" si="8"/>
        <v>43</v>
      </c>
      <c r="N21" s="763">
        <v>0.82540000000000002</v>
      </c>
      <c r="O21" s="764">
        <v>19.399999999999999</v>
      </c>
      <c r="P21" s="765"/>
      <c r="Q21" s="765"/>
      <c r="R21" s="766" t="s">
        <v>547</v>
      </c>
      <c r="S21" s="75">
        <f t="shared" si="9"/>
        <v>1.8046511627906978</v>
      </c>
      <c r="T21" s="81" t="e">
        <f t="shared" si="5"/>
        <v>#DIV/0!</v>
      </c>
      <c r="AI21" s="251"/>
      <c r="AJ21" s="270"/>
      <c r="AK21" s="271"/>
      <c r="AL21" s="17"/>
      <c r="AM21" s="29"/>
      <c r="AN21" s="17"/>
      <c r="AO21" s="30"/>
      <c r="BE21" s="89"/>
      <c r="BI21" s="676"/>
    </row>
    <row r="22" spans="1:61" ht="14.25" customHeight="1">
      <c r="A22" s="185">
        <f>$A$11-MAX('Transient LL'!$I$21,'Transient LL'!$I$59)*(M22-$M$11)*0.001</f>
        <v>0.8078447999999997</v>
      </c>
      <c r="B22" s="185">
        <f t="shared" si="6"/>
        <v>0.84860000000000002</v>
      </c>
      <c r="C22" s="192">
        <f t="shared" si="0"/>
        <v>0.82688571428571433</v>
      </c>
      <c r="D22" s="187">
        <f t="shared" si="1"/>
        <v>0.80631428571428576</v>
      </c>
      <c r="E22" s="191" t="str">
        <f t="shared" si="2"/>
        <v/>
      </c>
      <c r="F22" s="191">
        <f>N22+(O22*0.001)/2</f>
        <v>0.82620000000000005</v>
      </c>
      <c r="G22" s="191">
        <f>N22-(O22*0.001)/2</f>
        <v>0.80620000000000003</v>
      </c>
      <c r="H22" s="185">
        <f t="shared" si="7"/>
        <v>0.77859999999999996</v>
      </c>
      <c r="I22" s="575">
        <f>+IF((I21+(IF((IF(VR_TDC&lt;12,10,ROUND((1-((VR_TDC-2)/10-TRUNC((VR_TDC-2)/10)))*10,0)))&lt;10,1,0)+(IF(INT((VR_TDC-2)/10)&lt;1,1,INT((VR_TDC-2)/10)))))&gt;VR_TDC,NA(),(I21+(IF((IF(VR_TDC&lt;12,10,ROUND((1-((VR_TDC-2)/10-TRUNC((VR_TDC-2)/10)))*10,0)))&lt;10,1,0)+(IF(INT((VR_TDC-2)/10)&lt;1,1,INT((VR_TDC-2)/10))))))</f>
        <v>48</v>
      </c>
      <c r="J22" s="185"/>
      <c r="K22" s="101"/>
      <c r="L22" s="50"/>
      <c r="M22" s="173">
        <f t="shared" si="8"/>
        <v>48</v>
      </c>
      <c r="N22" s="763">
        <v>0.81620000000000004</v>
      </c>
      <c r="O22" s="764">
        <v>20</v>
      </c>
      <c r="P22" s="765"/>
      <c r="Q22" s="765"/>
      <c r="R22" s="766" t="s">
        <v>548</v>
      </c>
      <c r="S22" s="75">
        <f t="shared" si="9"/>
        <v>1.8083333333333331</v>
      </c>
      <c r="T22" s="82" t="e">
        <f t="shared" si="5"/>
        <v>#DIV/0!</v>
      </c>
      <c r="AI22" s="901" t="s">
        <v>32</v>
      </c>
      <c r="AJ22" s="902"/>
      <c r="AK22" s="920">
        <f>MAX(O11:O22)</f>
        <v>20.8</v>
      </c>
      <c r="AM22" s="901" t="s">
        <v>31</v>
      </c>
      <c r="AN22" s="902"/>
      <c r="AO22" s="906">
        <f>Ripple_PS0*2</f>
        <v>30</v>
      </c>
      <c r="BE22" s="89"/>
      <c r="BI22" s="676"/>
    </row>
    <row r="23" spans="1:61" ht="15.75" thickBot="1">
      <c r="C23" s="188"/>
      <c r="D23" s="510"/>
      <c r="E23" s="510"/>
      <c r="F23" s="510"/>
      <c r="G23" s="510"/>
      <c r="K23" s="509"/>
      <c r="L23" s="45"/>
      <c r="M23" s="55"/>
      <c r="N23" s="21" t="s">
        <v>21</v>
      </c>
      <c r="O23" s="21" t="s">
        <v>21</v>
      </c>
      <c r="P23" s="21" t="s">
        <v>21</v>
      </c>
      <c r="Q23" s="21" t="s">
        <v>21</v>
      </c>
      <c r="R23" s="21"/>
      <c r="S23" s="17"/>
      <c r="T23" s="32"/>
      <c r="AI23" s="903"/>
      <c r="AJ23" s="904"/>
      <c r="AK23" s="921"/>
      <c r="AM23" s="903"/>
      <c r="AN23" s="904"/>
      <c r="AO23" s="907"/>
      <c r="BE23" s="89"/>
      <c r="BI23" s="17"/>
    </row>
    <row r="24" spans="1:61" ht="12.75" customHeight="1" thickBot="1">
      <c r="B24" s="511"/>
      <c r="C24" s="188"/>
      <c r="D24" s="510"/>
      <c r="E24" s="510"/>
      <c r="F24" s="510"/>
      <c r="G24" s="510"/>
      <c r="K24" s="509"/>
      <c r="L24" s="45"/>
      <c r="M24" s="56"/>
      <c r="N24" s="892" t="s">
        <v>35</v>
      </c>
      <c r="O24" s="892"/>
      <c r="P24" s="57"/>
      <c r="Q24" s="57"/>
      <c r="R24" s="57"/>
      <c r="S24" s="57"/>
      <c r="T24" s="83"/>
      <c r="U24" s="53"/>
      <c r="V24" s="53"/>
      <c r="W24" s="53"/>
      <c r="X24" s="53"/>
      <c r="Y24" s="53"/>
      <c r="Z24" s="53"/>
      <c r="AI24" s="238"/>
      <c r="AJ24" s="238"/>
      <c r="AK24" s="397"/>
      <c r="AL24" s="17"/>
      <c r="AM24" s="238"/>
      <c r="AN24" s="398"/>
      <c r="AO24" s="238"/>
      <c r="AP24" s="17"/>
      <c r="BE24" s="89"/>
    </row>
    <row r="25" spans="1:61">
      <c r="H25" s="511"/>
      <c r="I25" s="511"/>
      <c r="J25" s="511"/>
      <c r="K25" s="102"/>
      <c r="Z25" s="13"/>
      <c r="AI25" s="17"/>
      <c r="AM25" s="17"/>
      <c r="AN25" s="17"/>
      <c r="BE25" s="89"/>
    </row>
    <row r="26" spans="1:61">
      <c r="K26" s="102"/>
      <c r="M26" s="919"/>
      <c r="N26" s="919"/>
      <c r="O26" s="919"/>
      <c r="P26" s="919"/>
      <c r="Q26" s="919"/>
      <c r="R26" s="919"/>
      <c r="S26" s="919"/>
      <c r="T26" s="919"/>
      <c r="Z26" s="13"/>
      <c r="AL26" s="17"/>
      <c r="BE26" s="89"/>
    </row>
    <row r="27" spans="1:61">
      <c r="C27" s="511"/>
      <c r="D27" s="511"/>
      <c r="E27" s="511"/>
      <c r="F27" s="511"/>
      <c r="G27" s="511"/>
      <c r="K27" s="102"/>
      <c r="L27"/>
      <c r="M27" s="919"/>
      <c r="N27" s="919"/>
      <c r="O27" s="919"/>
      <c r="P27" s="919"/>
      <c r="Q27" s="919"/>
      <c r="R27" s="919"/>
      <c r="S27" s="919"/>
      <c r="T27" s="919"/>
      <c r="BE27" s="89"/>
    </row>
    <row r="28" spans="1:61">
      <c r="C28" s="511"/>
      <c r="D28" s="511"/>
      <c r="E28" s="511"/>
      <c r="F28" s="511"/>
      <c r="G28" s="511"/>
      <c r="K28" s="102"/>
      <c r="L28"/>
      <c r="T28"/>
      <c r="AI28" s="884" t="s">
        <v>56</v>
      </c>
      <c r="AJ28" s="884"/>
      <c r="AK28" s="884"/>
      <c r="AL28" s="884"/>
      <c r="AM28" s="884"/>
      <c r="AN28" s="884"/>
      <c r="AO28" s="884"/>
      <c r="AP28" s="153" t="s">
        <v>51</v>
      </c>
      <c r="BE28" s="89"/>
    </row>
    <row r="29" spans="1:61" ht="15" customHeight="1">
      <c r="C29" s="511"/>
      <c r="D29" s="511"/>
      <c r="E29" s="511"/>
      <c r="F29" s="511"/>
      <c r="G29" s="511"/>
      <c r="K29" s="102"/>
      <c r="L29"/>
      <c r="M29" s="875" t="str">
        <f>IF('Spec Entry'!$G$28="","Please select a Validation type on the Spec entry tab",IF('Spec Entry'!$G$28="HVM Validation","You have selected HVM Validation. If you are performing Design Validation, please change the selection on the Spec Entry tab.",""))</f>
        <v>You have selected HVM Validation. If you are performing Design Validation, please change the selection on the Spec Entry tab.</v>
      </c>
      <c r="N29" s="875"/>
      <c r="O29" s="875"/>
      <c r="P29" s="875"/>
      <c r="Q29" s="875"/>
      <c r="R29" s="875"/>
      <c r="S29" s="875"/>
      <c r="T29" s="875"/>
      <c r="AI29" s="884" t="str">
        <f>IF('Spec Entry'!$G$28="Design Validation","Is the DC LL tuned as close to the Ideal LL as possible?","Is the DC LL within the Min and Max LL Slope limits?")</f>
        <v>Is the DC LL within the Min and Max LL Slope limits?</v>
      </c>
      <c r="AJ29" s="884"/>
      <c r="AK29" s="884"/>
      <c r="AL29" s="884"/>
      <c r="AM29" s="884"/>
      <c r="AN29" s="884"/>
      <c r="AO29" s="884"/>
      <c r="AP29" s="153" t="s">
        <v>51</v>
      </c>
      <c r="BE29" s="89"/>
    </row>
    <row r="30" spans="1:61" ht="12.75" customHeight="1">
      <c r="C30" s="511"/>
      <c r="D30" s="511"/>
      <c r="E30" s="511"/>
      <c r="F30" s="511"/>
      <c r="G30" s="511"/>
      <c r="K30" s="102"/>
      <c r="L30"/>
      <c r="M30" s="875"/>
      <c r="N30" s="875"/>
      <c r="O30" s="875"/>
      <c r="P30" s="875"/>
      <c r="Q30" s="875"/>
      <c r="R30" s="875"/>
      <c r="S30" s="875"/>
      <c r="T30" s="875"/>
      <c r="AI30" s="884" t="s">
        <v>57</v>
      </c>
      <c r="AJ30" s="884"/>
      <c r="AK30" s="884"/>
      <c r="AL30" s="884"/>
      <c r="AM30" s="884"/>
      <c r="AN30" s="884"/>
      <c r="AO30" s="884"/>
      <c r="AP30" s="153" t="s">
        <v>51</v>
      </c>
      <c r="BE30" s="89"/>
    </row>
    <row r="31" spans="1:61" ht="12.75" customHeight="1">
      <c r="K31" s="102"/>
      <c r="M31" s="875"/>
      <c r="N31" s="875"/>
      <c r="O31" s="875"/>
      <c r="P31" s="875"/>
      <c r="Q31" s="875"/>
      <c r="R31" s="875"/>
      <c r="S31" s="875"/>
      <c r="T31" s="875"/>
      <c r="Z31" s="13"/>
      <c r="AI31" s="884" t="s">
        <v>59</v>
      </c>
      <c r="AJ31" s="884"/>
      <c r="AK31" s="884"/>
      <c r="AL31" s="884"/>
      <c r="AM31" s="884"/>
      <c r="AN31" s="884"/>
      <c r="AO31" s="884"/>
      <c r="AP31" s="153" t="s">
        <v>51</v>
      </c>
      <c r="AR31" s="885" t="str">
        <f>IF('Spec Entry'!$G$28="Design Validation","Is the Measured IOUT data as close to the Ideal IOUT line as possible?","Is the measured IOUT data within the +/- Limit lines?")</f>
        <v>Is the measured IOUT data within the +/- Limit lines?</v>
      </c>
      <c r="AS31" s="885"/>
      <c r="AT31" s="885"/>
      <c r="AU31" s="885"/>
      <c r="AV31" s="885"/>
      <c r="AW31" s="885"/>
      <c r="AX31" s="885"/>
      <c r="AY31" s="153" t="s">
        <v>51</v>
      </c>
      <c r="BE31" s="89"/>
    </row>
    <row r="32" spans="1:61">
      <c r="K32" s="102"/>
      <c r="Z32" s="13"/>
      <c r="BE32" s="89"/>
    </row>
    <row r="33" spans="1:57">
      <c r="K33" s="102"/>
      <c r="L33" s="102"/>
      <c r="M33" s="89"/>
      <c r="N33" s="89"/>
      <c r="O33" s="89"/>
      <c r="P33" s="89"/>
      <c r="Q33" s="89"/>
      <c r="R33" s="89"/>
      <c r="S33" s="89"/>
      <c r="T33" s="95"/>
      <c r="U33" s="89"/>
      <c r="V33" s="89"/>
      <c r="W33" s="89"/>
      <c r="X33" s="89"/>
      <c r="Y33" s="89"/>
      <c r="Z33" s="95"/>
      <c r="AA33" s="89"/>
      <c r="AB33" s="89"/>
      <c r="AC33" s="89"/>
      <c r="AD33" s="89"/>
      <c r="AE33" s="89"/>
      <c r="AF33" s="89"/>
      <c r="AG33" s="89"/>
      <c r="AH33" s="89"/>
      <c r="AI33" s="89"/>
      <c r="AJ33" s="93"/>
      <c r="AK33" s="95"/>
      <c r="AL33" s="89"/>
      <c r="AM33" s="89"/>
      <c r="AN33" s="89"/>
      <c r="AO33" s="89"/>
      <c r="AP33" s="89"/>
      <c r="AQ33" s="89"/>
      <c r="AR33" s="89"/>
      <c r="AS33" s="89"/>
      <c r="AT33" s="89"/>
      <c r="AU33" s="89"/>
      <c r="AV33" s="89"/>
      <c r="AW33" s="89"/>
      <c r="AX33" s="89"/>
      <c r="AY33" s="89"/>
      <c r="AZ33" s="89"/>
      <c r="BA33" s="89"/>
      <c r="BB33" s="89"/>
      <c r="BC33" s="89"/>
      <c r="BD33" s="89"/>
      <c r="BE33" s="89"/>
    </row>
    <row r="34" spans="1:57">
      <c r="Z34" s="13"/>
    </row>
    <row r="35" spans="1:57" s="80" customFormat="1">
      <c r="A35" s="193"/>
      <c r="B35" s="512"/>
      <c r="C35" s="194"/>
      <c r="D35" s="194"/>
      <c r="E35" s="194"/>
      <c r="F35" s="194"/>
      <c r="G35" s="194"/>
      <c r="H35" s="512"/>
      <c r="I35" s="512"/>
      <c r="J35" s="512"/>
      <c r="K35" s="172"/>
      <c r="L35" s="172"/>
      <c r="T35" s="119"/>
      <c r="Z35" s="119"/>
      <c r="AJ35" s="62"/>
      <c r="AK35" s="119"/>
    </row>
    <row r="36" spans="1:57">
      <c r="C36" s="188"/>
      <c r="D36" s="187"/>
      <c r="E36" s="187"/>
      <c r="F36" s="187"/>
      <c r="G36" s="187"/>
      <c r="K36" s="508"/>
      <c r="L36" s="99"/>
      <c r="M36" s="99"/>
      <c r="N36" s="99"/>
      <c r="O36" s="99"/>
      <c r="P36" s="99"/>
      <c r="Q36" s="99"/>
      <c r="R36" s="99"/>
      <c r="S36" s="99"/>
      <c r="T36" s="90"/>
      <c r="U36" s="99"/>
      <c r="V36" s="99"/>
      <c r="W36" s="99"/>
      <c r="X36" s="99"/>
      <c r="Y36" s="99"/>
      <c r="Z36" s="89"/>
      <c r="AA36" s="89"/>
      <c r="AB36" s="89"/>
      <c r="AC36" s="89"/>
      <c r="AD36" s="89"/>
      <c r="AE36" s="89"/>
      <c r="AF36" s="89"/>
      <c r="AG36" s="89"/>
      <c r="AH36" s="89"/>
      <c r="AI36" s="89"/>
      <c r="AJ36" s="93"/>
      <c r="AK36" s="95"/>
      <c r="AL36" s="89"/>
      <c r="AM36" s="89"/>
      <c r="AN36" s="89"/>
      <c r="AO36" s="89"/>
      <c r="AP36" s="89"/>
      <c r="AQ36" s="89"/>
      <c r="AR36" s="89"/>
      <c r="AS36" s="89"/>
      <c r="AT36" s="89"/>
      <c r="AU36" s="89"/>
      <c r="AV36" s="89"/>
      <c r="AW36" s="89"/>
      <c r="AX36" s="89"/>
      <c r="AY36" s="89"/>
      <c r="AZ36" s="89"/>
      <c r="BA36" s="89"/>
      <c r="BB36" s="89"/>
      <c r="BC36" s="89"/>
      <c r="BD36" s="89"/>
      <c r="BE36" s="89"/>
    </row>
    <row r="37" spans="1:57" ht="13.5" thickBot="1">
      <c r="C37" s="188"/>
      <c r="D37" s="187"/>
      <c r="E37" s="187"/>
      <c r="F37" s="187"/>
      <c r="G37" s="187"/>
      <c r="K37" s="508"/>
      <c r="L37" s="19"/>
      <c r="M37" s="19"/>
      <c r="N37" s="19"/>
      <c r="O37" s="19"/>
      <c r="P37" s="19"/>
      <c r="Q37" s="19"/>
      <c r="R37" s="19"/>
      <c r="S37" s="19"/>
      <c r="T37" s="20"/>
      <c r="U37" s="19"/>
      <c r="V37" s="19"/>
      <c r="W37" s="19"/>
      <c r="X37" s="19"/>
      <c r="Y37" s="19"/>
      <c r="BE37" s="89"/>
    </row>
    <row r="38" spans="1:57" ht="32.25" customHeight="1">
      <c r="K38" s="102"/>
      <c r="M38" s="876" t="s">
        <v>62</v>
      </c>
      <c r="N38" s="877"/>
      <c r="O38" s="877"/>
      <c r="P38" s="877"/>
      <c r="Q38" s="877"/>
      <c r="R38" s="877"/>
      <c r="S38" s="877"/>
      <c r="T38" s="878"/>
      <c r="U38" s="34"/>
      <c r="V38" s="34"/>
      <c r="W38" s="34"/>
      <c r="X38" s="34"/>
      <c r="Y38" s="34"/>
      <c r="Z38" s="34"/>
      <c r="BE38" s="89"/>
    </row>
    <row r="39" spans="1:57" ht="13.5" thickBot="1">
      <c r="K39" s="102"/>
      <c r="M39" s="863" t="str">
        <f>"VID set to "&amp;VID_2&amp;"V"</f>
        <v>VID set to 0.6V</v>
      </c>
      <c r="N39" s="864"/>
      <c r="O39" s="893" t="s">
        <v>101</v>
      </c>
      <c r="P39" s="893"/>
      <c r="Q39" s="175"/>
      <c r="R39" s="367"/>
      <c r="S39" s="175"/>
      <c r="T39" s="176"/>
      <c r="U39" s="35"/>
      <c r="V39" s="35"/>
      <c r="W39" s="35"/>
      <c r="X39" s="35"/>
      <c r="Y39" s="35"/>
      <c r="Z39" s="35"/>
      <c r="BE39" s="89"/>
    </row>
    <row r="40" spans="1:57" ht="33.75">
      <c r="A40" s="185" t="s">
        <v>107</v>
      </c>
      <c r="B40" s="185" t="s">
        <v>105</v>
      </c>
      <c r="C40" s="188" t="s">
        <v>33</v>
      </c>
      <c r="D40" s="187" t="str">
        <f>"Max LL Slope"</f>
        <v>Max LL Slope</v>
      </c>
      <c r="E40" s="187" t="s">
        <v>97</v>
      </c>
      <c r="F40" s="187" t="s">
        <v>108</v>
      </c>
      <c r="G40" s="187" t="s">
        <v>109</v>
      </c>
      <c r="H40" s="185" t="s">
        <v>106</v>
      </c>
      <c r="I40" s="185"/>
      <c r="J40" s="185" t="s">
        <v>118</v>
      </c>
      <c r="K40" s="102"/>
      <c r="M40" s="174" t="s">
        <v>48</v>
      </c>
      <c r="N40" s="106" t="s">
        <v>43</v>
      </c>
      <c r="O40" s="106" t="s">
        <v>46</v>
      </c>
      <c r="P40" s="106" t="s">
        <v>44</v>
      </c>
      <c r="Q40" s="106" t="s">
        <v>45</v>
      </c>
      <c r="R40" s="366" t="s">
        <v>292</v>
      </c>
      <c r="S40" s="107" t="s">
        <v>23</v>
      </c>
      <c r="T40" s="108" t="s">
        <v>47</v>
      </c>
      <c r="V40" s="13"/>
      <c r="AI40" s="925" t="s">
        <v>67</v>
      </c>
      <c r="AJ40" s="926"/>
      <c r="AK40" s="927"/>
      <c r="AM40" s="881" t="s">
        <v>65</v>
      </c>
      <c r="AN40" s="882"/>
      <c r="AO40" s="883"/>
      <c r="BE40" s="89"/>
    </row>
    <row r="41" spans="1:57">
      <c r="A41" s="190">
        <f>N41</f>
        <v>0.60199999999999998</v>
      </c>
      <c r="B41" s="185">
        <f>VID_2+(V_TOB_Imax_PS1+Ripple_PS1)*0.001</f>
        <v>0.63500000000000001</v>
      </c>
      <c r="C41" s="191">
        <f>IF('Spec Entry'!$G$28="Design Validation","",$N$41)</f>
        <v>0.60199999999999998</v>
      </c>
      <c r="D41" s="191">
        <f>IF('Spec Entry'!$G$28="Design Validation","",$N$41)</f>
        <v>0.60199999999999998</v>
      </c>
      <c r="E41" s="191" t="str">
        <f>IF('Spec Entry'!$G$28="HVM Validation","",N41)</f>
        <v/>
      </c>
      <c r="F41" s="191">
        <f>N41+(O41*0.001)/2</f>
        <v>0.61019999999999996</v>
      </c>
      <c r="G41" s="191">
        <f>N41-(O41*0.001)/2</f>
        <v>0.59379999999999999</v>
      </c>
      <c r="H41" s="185">
        <f>VID_2-(V_TOB_Imax_PS1+Ripple_PS1)*0.001</f>
        <v>0.56499999999999995</v>
      </c>
      <c r="I41" s="185"/>
      <c r="J41" s="185"/>
      <c r="K41" s="100"/>
      <c r="L41" s="49"/>
      <c r="M41" s="173">
        <v>0</v>
      </c>
      <c r="N41" s="277">
        <v>0.60199999999999998</v>
      </c>
      <c r="O41" s="278">
        <v>16.399999999999999</v>
      </c>
      <c r="P41" s="279"/>
      <c r="Q41" s="279"/>
      <c r="R41" s="395">
        <v>1</v>
      </c>
      <c r="S41" s="67"/>
      <c r="T41" s="81" t="e">
        <f>(N41*M41)/(P41*Q41)</f>
        <v>#DIV/0!</v>
      </c>
      <c r="V41" s="13"/>
      <c r="AI41" s="908" t="s">
        <v>30</v>
      </c>
      <c r="AJ41" s="909"/>
      <c r="AK41" s="31">
        <f>N41</f>
        <v>0.60199999999999998</v>
      </c>
      <c r="AM41" s="871" t="s">
        <v>28</v>
      </c>
      <c r="AN41" s="872"/>
      <c r="AO41" s="310">
        <f>VID_2-(R_DC_LL*0.001*M41)-(V_TOB_Imin*0.001)</f>
        <v>0.59499999999999997</v>
      </c>
      <c r="BE41" s="89"/>
    </row>
    <row r="42" spans="1:57">
      <c r="A42" s="185">
        <f>$A$41-'Transient LL'!$I$89*(M42-$M$41)*0.001</f>
        <v>0.59639399999999998</v>
      </c>
      <c r="B42" s="185">
        <f t="shared" ref="B42:B52" si="10">$B$41-((M42-$M$41)*ABS(R_DC_LL)*0.001)</f>
        <v>0.63139999999999996</v>
      </c>
      <c r="C42" s="192">
        <f t="shared" ref="C42:C52" si="11">IF($C$41=$N$41,$N$41-((M42-$M$41)*(R_DC_LL_min_PS1*0.001)),"")</f>
        <v>0.60139999999999993</v>
      </c>
      <c r="D42" s="192">
        <f t="shared" ref="D42:D52" si="12">IF($C$41=$N$41,$N$41-((M42-$M$41)*(R_DC_LL_max_PS1*0.001)),"")</f>
        <v>0.59539999999999993</v>
      </c>
      <c r="E42" s="191" t="str">
        <f t="shared" ref="E42:E52" si="13">IF($E$41=$N$41,$E$41-(R_DC_LL*0.001*(M42-$M$41)),"")</f>
        <v/>
      </c>
      <c r="F42" s="191">
        <f t="shared" ref="F42:F52" si="14">N42+(O42*0.001)/2</f>
        <v>0.60680000000000001</v>
      </c>
      <c r="G42" s="191">
        <f t="shared" ref="G42:G52" si="15">N42-(O42*0.001)/2</f>
        <v>0.59000000000000008</v>
      </c>
      <c r="H42" s="185">
        <f t="shared" ref="H42:H52" si="16">$H$41-((M42-$M$41)*ABS(R_DC_LL)*0.001)</f>
        <v>0.5613999999999999</v>
      </c>
      <c r="I42" s="575">
        <v>2</v>
      </c>
      <c r="J42" s="185"/>
      <c r="K42" s="509"/>
      <c r="L42" s="45"/>
      <c r="M42" s="173">
        <f t="shared" ref="M42:M52" si="17">I42</f>
        <v>2</v>
      </c>
      <c r="N42" s="277">
        <v>0.59840000000000004</v>
      </c>
      <c r="O42" s="278">
        <v>16.8</v>
      </c>
      <c r="P42" s="279"/>
      <c r="Q42" s="279"/>
      <c r="R42" s="395">
        <v>8</v>
      </c>
      <c r="S42" s="75">
        <f>($N$41-N42)/(M42-$M$41)*1000</f>
        <v>1.7999999999999683</v>
      </c>
      <c r="T42" s="81" t="e">
        <f>(N42*M42)/(P42*Q42)</f>
        <v>#DIV/0!</v>
      </c>
      <c r="V42" s="13"/>
      <c r="AI42" s="29"/>
      <c r="AK42" s="32"/>
      <c r="AM42" s="873" t="s">
        <v>29</v>
      </c>
      <c r="AN42" s="874"/>
      <c r="AO42" s="310">
        <f>VID_2-(R_DC_LL*0.001*M41)+(V_TOB_Imin*0.001)</f>
        <v>0.60499999999999998</v>
      </c>
      <c r="BE42" s="89"/>
    </row>
    <row r="43" spans="1:57">
      <c r="A43" s="185">
        <f>$A$41-'Transient LL'!$I$89*(M43-$M$41)*0.001</f>
        <v>0.58518199999999998</v>
      </c>
      <c r="B43" s="185">
        <f t="shared" si="10"/>
        <v>0.62419999999999998</v>
      </c>
      <c r="C43" s="192">
        <f t="shared" si="11"/>
        <v>0.60019999999999996</v>
      </c>
      <c r="D43" s="192">
        <f t="shared" si="12"/>
        <v>0.58219999999999994</v>
      </c>
      <c r="E43" s="191" t="str">
        <f t="shared" si="13"/>
        <v/>
      </c>
      <c r="F43" s="191">
        <f t="shared" si="14"/>
        <v>0.59939999999999993</v>
      </c>
      <c r="G43" s="191">
        <f t="shared" si="15"/>
        <v>0.58260000000000001</v>
      </c>
      <c r="H43" s="185">
        <f t="shared" si="16"/>
        <v>0.55419999999999991</v>
      </c>
      <c r="I43" s="575">
        <f>+IF((I42+(IF((IF(VR_TDC&lt;12,10,ROUND((1-((VR_TDC-2)/10-TRUNC((VR_TDC-2)/10)))*10,0)))&lt;1,1,0)+(IF(INT((VR_TDC-2)/10)&lt;1,1,INT((VR_TDC-2)/10)))))&gt;IF(VR_TDC&gt;Iccmax_PS1,Iccmax_PS1,VR_TDC),NA(),(I42+(IF((IF(VR_TDC&lt;12,10,ROUND((1-((VR_TDC-2)/10-TRUNC((VR_TDC-2)/10)))*10,0)))&lt;1,1,0)+(IF(INT((VR_TDC-2)/10)&lt;1,1,INT((VR_TDC-2)/10))))))</f>
        <v>6</v>
      </c>
      <c r="J43" s="185"/>
      <c r="K43" s="509"/>
      <c r="L43" s="45"/>
      <c r="M43" s="173">
        <f t="shared" si="17"/>
        <v>6</v>
      </c>
      <c r="N43" s="277">
        <v>0.59099999999999997</v>
      </c>
      <c r="O43" s="278">
        <v>16.8</v>
      </c>
      <c r="P43" s="279"/>
      <c r="Q43" s="279"/>
      <c r="R43" s="395">
        <v>18</v>
      </c>
      <c r="S43" s="75">
        <f t="shared" ref="S43:S52" si="18">($N$41-N43)/(M43-$M$41)*1000</f>
        <v>1.833333333333335</v>
      </c>
      <c r="T43" s="81" t="e">
        <f t="shared" ref="T43:T52" si="19">(N43*M43)/(P43*Q43)</f>
        <v>#DIV/0!</v>
      </c>
      <c r="V43" s="13"/>
      <c r="AI43" s="29"/>
      <c r="AK43" s="32"/>
      <c r="AM43" s="26"/>
      <c r="AN43" s="24"/>
      <c r="AO43" s="27"/>
      <c r="BE43" s="89"/>
    </row>
    <row r="44" spans="1:57">
      <c r="A44" s="185">
        <f>$A$41-'Transient LL'!$I$89*(M44-$M$41)*0.001</f>
        <v>0.57396999999999998</v>
      </c>
      <c r="B44" s="185">
        <f t="shared" si="10"/>
        <v>0.61699999999999999</v>
      </c>
      <c r="C44" s="192">
        <f t="shared" si="11"/>
        <v>0.59899999999999998</v>
      </c>
      <c r="D44" s="192">
        <f t="shared" si="12"/>
        <v>0.56899999999999995</v>
      </c>
      <c r="E44" s="191" t="str">
        <f t="shared" si="13"/>
        <v/>
      </c>
      <c r="F44" s="191">
        <f t="shared" si="14"/>
        <v>0.59189999999999998</v>
      </c>
      <c r="G44" s="191">
        <f t="shared" si="15"/>
        <v>0.57589999999999997</v>
      </c>
      <c r="H44" s="185">
        <f t="shared" si="16"/>
        <v>0.54699999999999993</v>
      </c>
      <c r="I44" s="575">
        <f>+IF((I43+(IF((IF(VR_TDC&lt;12,10,ROUND((1-((VR_TDC-2)/10-TRUNC((VR_TDC-2)/10)))*10,0)))&lt;2,1,0)+(IF(INT((VR_TDC-2)/10)&lt;1,1,INT((VR_TDC-2)/10)))))&gt;IF(VR_TDC&gt;Iccmax_PS1,Iccmax_PS1,VR_TDC),NA(),(I43+(IF((IF(VR_TDC&lt;12,10,ROUND((1-((VR_TDC-2)/10-TRUNC((VR_TDC-2)/10)))*10,0)))&lt;2,1,0)+(IF(INT((VR_TDC-2)/10)&lt;1,1,INT((VR_TDC-2)/10))))))</f>
        <v>10</v>
      </c>
      <c r="J44" s="185"/>
      <c r="K44" s="509"/>
      <c r="L44" s="45"/>
      <c r="M44" s="173">
        <f t="shared" si="17"/>
        <v>10</v>
      </c>
      <c r="N44" s="277">
        <v>0.58389999999999997</v>
      </c>
      <c r="O44" s="278">
        <v>16</v>
      </c>
      <c r="P44" s="279"/>
      <c r="Q44" s="279"/>
      <c r="R44" s="395">
        <v>27</v>
      </c>
      <c r="S44" s="75">
        <f t="shared" si="18"/>
        <v>1.8100000000000005</v>
      </c>
      <c r="T44" s="81" t="e">
        <f t="shared" si="19"/>
        <v>#DIV/0!</v>
      </c>
      <c r="V44" s="13"/>
      <c r="AI44" s="29"/>
      <c r="AK44" s="32"/>
      <c r="AM44" s="28"/>
      <c r="AN44" s="23"/>
      <c r="AO44" s="27"/>
      <c r="BE44" s="89"/>
    </row>
    <row r="45" spans="1:57">
      <c r="A45" s="185" t="e">
        <f>$A$41-'Transient LL'!$I$89*(M45-$M$41)*0.001</f>
        <v>#N/A</v>
      </c>
      <c r="B45" s="185" t="e">
        <f t="shared" si="10"/>
        <v>#N/A</v>
      </c>
      <c r="C45" s="192" t="e">
        <f t="shared" si="11"/>
        <v>#N/A</v>
      </c>
      <c r="D45" s="192" t="e">
        <f t="shared" si="12"/>
        <v>#N/A</v>
      </c>
      <c r="E45" s="191" t="str">
        <f t="shared" si="13"/>
        <v/>
      </c>
      <c r="F45" s="191">
        <f t="shared" si="14"/>
        <v>0</v>
      </c>
      <c r="G45" s="191">
        <f t="shared" si="15"/>
        <v>0</v>
      </c>
      <c r="H45" s="185" t="e">
        <f t="shared" si="16"/>
        <v>#N/A</v>
      </c>
      <c r="I45" s="575" t="e">
        <f>+IF((I44+(IF((IF(VR_TDC&lt;12,10,ROUND((1-((VR_TDC-2)/10-TRUNC((VR_TDC-2)/10)))*10,0)))&lt;3,1,0)+(IF(INT((VR_TDC-2)/10)&lt;1,1,INT((VR_TDC-2)/10)))))&gt;IF(VR_TDC&gt;Iccmax_PS1,Iccmax_PS1,VR_TDC),NA(),(I44+(IF((IF(VR_TDC&lt;12,10,ROUND((1-((VR_TDC-2)/10-TRUNC((VR_TDC-2)/10)))*10,0)))&lt;3,1,0)+(IF(INT((VR_TDC-2)/10)&lt;1,1,INT((VR_TDC-2)/10))))))</f>
        <v>#N/A</v>
      </c>
      <c r="J45" s="185"/>
      <c r="K45" s="509"/>
      <c r="L45" s="45"/>
      <c r="M45" s="173" t="e">
        <f t="shared" si="17"/>
        <v>#N/A</v>
      </c>
      <c r="N45" s="277"/>
      <c r="O45" s="278"/>
      <c r="P45" s="279"/>
      <c r="Q45" s="279"/>
      <c r="R45" s="395"/>
      <c r="S45" s="75" t="e">
        <f t="shared" si="18"/>
        <v>#N/A</v>
      </c>
      <c r="T45" s="81" t="e">
        <f t="shared" si="19"/>
        <v>#N/A</v>
      </c>
      <c r="V45" s="13"/>
      <c r="AI45" s="871" t="s">
        <v>24</v>
      </c>
      <c r="AJ45" s="872"/>
      <c r="AK45" s="149" t="e">
        <f>AVERAGE(S42:S51)</f>
        <v>#N/A</v>
      </c>
      <c r="AM45" s="905" t="s">
        <v>212</v>
      </c>
      <c r="AN45" s="874"/>
      <c r="AO45" s="150">
        <f>R_DC_LL</f>
        <v>1.8</v>
      </c>
      <c r="BE45" s="89"/>
    </row>
    <row r="46" spans="1:57">
      <c r="A46" s="185" t="e">
        <f>$A$41-'Transient LL'!$I$89*(M46-$M$41)*0.001</f>
        <v>#N/A</v>
      </c>
      <c r="B46" s="185" t="e">
        <f t="shared" si="10"/>
        <v>#N/A</v>
      </c>
      <c r="C46" s="192" t="e">
        <f t="shared" si="11"/>
        <v>#N/A</v>
      </c>
      <c r="D46" s="192" t="e">
        <f t="shared" si="12"/>
        <v>#N/A</v>
      </c>
      <c r="E46" s="191" t="str">
        <f t="shared" si="13"/>
        <v/>
      </c>
      <c r="F46" s="191">
        <f t="shared" si="14"/>
        <v>0</v>
      </c>
      <c r="G46" s="191">
        <f t="shared" si="15"/>
        <v>0</v>
      </c>
      <c r="H46" s="185" t="e">
        <f t="shared" si="16"/>
        <v>#N/A</v>
      </c>
      <c r="I46" s="575" t="e">
        <f>+IF((I45+(IF((IF(VR_TDC&lt;12,10,ROUND((1-((VR_TDC-2)/10-TRUNC((VR_TDC-2)/10)))*10,0)))&lt;4,1,0)+(IF(INT((VR_TDC-2)/10)&lt;1,1,INT((VR_TDC-2)/10)))))&gt;IF(VR_TDC&gt;Iccmax_PS1,Iccmax_PS1,VR_TDC),NA(),(I45+(IF((IF(VR_TDC&lt;12,10,ROUND((1-((VR_TDC-2)/10-TRUNC((VR_TDC-2)/10)))*10,0)))&lt;4,1,0)+(IF(INT((VR_TDC-2)/10)&lt;1,1,INT((VR_TDC-2)/10))))))</f>
        <v>#N/A</v>
      </c>
      <c r="J46" s="185"/>
      <c r="K46" s="509"/>
      <c r="L46" s="45"/>
      <c r="M46" s="173" t="e">
        <f>I46</f>
        <v>#N/A</v>
      </c>
      <c r="N46" s="277"/>
      <c r="O46" s="278"/>
      <c r="P46" s="279"/>
      <c r="Q46" s="279"/>
      <c r="R46" s="395"/>
      <c r="S46" s="75" t="e">
        <f t="shared" si="18"/>
        <v>#N/A</v>
      </c>
      <c r="T46" s="81" t="e">
        <f t="shared" si="19"/>
        <v>#N/A</v>
      </c>
      <c r="V46" s="13"/>
      <c r="AI46" s="871" t="s">
        <v>25</v>
      </c>
      <c r="AJ46" s="872"/>
      <c r="AK46" s="149" t="e">
        <f>MAX(S42:S51)</f>
        <v>#N/A</v>
      </c>
      <c r="AM46" s="873"/>
      <c r="AN46" s="874"/>
      <c r="AO46" s="150"/>
      <c r="BE46" s="89"/>
    </row>
    <row r="47" spans="1:57">
      <c r="A47" s="185" t="e">
        <f>$A$41-'Transient LL'!$I$89*(M47-$M$41)*0.001</f>
        <v>#N/A</v>
      </c>
      <c r="B47" s="185" t="e">
        <f t="shared" si="10"/>
        <v>#N/A</v>
      </c>
      <c r="C47" s="192" t="e">
        <f t="shared" si="11"/>
        <v>#N/A</v>
      </c>
      <c r="D47" s="192" t="e">
        <f t="shared" si="12"/>
        <v>#N/A</v>
      </c>
      <c r="E47" s="191" t="str">
        <f t="shared" si="13"/>
        <v/>
      </c>
      <c r="F47" s="191">
        <f t="shared" si="14"/>
        <v>0</v>
      </c>
      <c r="G47" s="191">
        <f t="shared" si="15"/>
        <v>0</v>
      </c>
      <c r="H47" s="185" t="e">
        <f t="shared" si="16"/>
        <v>#N/A</v>
      </c>
      <c r="I47" s="575" t="e">
        <f>+IF((I46+(IF((IF(VR_TDC&lt;12,10,ROUND((1-((VR_TDC-2)/10-TRUNC((VR_TDC-2)/10)))*10,0)))&lt;5,1,0)+(IF(INT((VR_TDC-2)/10)&lt;1,1,INT((VR_TDC-2)/10)))))&gt;IF(VR_TDC&gt;Iccmax_PS1,Iccmax_PS1,VR_TDC),NA(),(I46+(IF((IF(VR_TDC&lt;12,10,ROUND((1-((VR_TDC-2)/10-TRUNC((VR_TDC-2)/10)))*10,0)))&lt;5,1,0)+(IF(INT((VR_TDC-2)/10)&lt;1,1,INT((VR_TDC-2)/10))))))</f>
        <v>#N/A</v>
      </c>
      <c r="J47" s="185"/>
      <c r="K47" s="509"/>
      <c r="L47" s="45"/>
      <c r="M47" s="173" t="e">
        <f t="shared" si="17"/>
        <v>#N/A</v>
      </c>
      <c r="N47" s="277"/>
      <c r="O47" s="278"/>
      <c r="P47" s="279"/>
      <c r="Q47" s="279"/>
      <c r="R47" s="395"/>
      <c r="S47" s="75" t="e">
        <f t="shared" si="18"/>
        <v>#N/A</v>
      </c>
      <c r="T47" s="81" t="e">
        <f t="shared" si="19"/>
        <v>#N/A</v>
      </c>
      <c r="V47" s="13"/>
      <c r="AI47" s="873" t="s">
        <v>26</v>
      </c>
      <c r="AJ47" s="874"/>
      <c r="AK47" s="149" t="e">
        <f>MIN(S42:S51)</f>
        <v>#N/A</v>
      </c>
      <c r="AM47" s="29"/>
      <c r="AN47" s="17"/>
      <c r="AO47" s="30"/>
      <c r="BE47" s="89"/>
    </row>
    <row r="48" spans="1:57">
      <c r="A48" s="185" t="e">
        <f>$A$41-'Transient LL'!$I$89*(M48-$M$41)*0.001</f>
        <v>#N/A</v>
      </c>
      <c r="B48" s="185" t="e">
        <f t="shared" si="10"/>
        <v>#N/A</v>
      </c>
      <c r="C48" s="192" t="e">
        <f t="shared" si="11"/>
        <v>#N/A</v>
      </c>
      <c r="D48" s="192" t="e">
        <f t="shared" si="12"/>
        <v>#N/A</v>
      </c>
      <c r="E48" s="191" t="str">
        <f t="shared" si="13"/>
        <v/>
      </c>
      <c r="F48" s="191">
        <f t="shared" si="14"/>
        <v>0</v>
      </c>
      <c r="G48" s="191">
        <f t="shared" si="15"/>
        <v>0</v>
      </c>
      <c r="H48" s="185" t="e">
        <f t="shared" si="16"/>
        <v>#N/A</v>
      </c>
      <c r="I48" s="575" t="e">
        <f>+IF((I47+(IF((IF(VR_TDC&lt;12,10,ROUND((1-((VR_TDC-2)/10-TRUNC((VR_TDC-2)/10)))*10,0)))&lt;6,1,0)+(IF(INT((VR_TDC-2)/10)&lt;1,1,INT((VR_TDC-2)/10)))))&gt;IF(VR_TDC&gt;Iccmax_PS1,Iccmax_PS1,VR_TDC),NA(),(I47+(IF((IF(VR_TDC&lt;12,10,ROUND((1-((VR_TDC-2)/10-TRUNC((VR_TDC-2)/10)))*10,0)))&lt;6,1,0)+(IF(INT((VR_TDC-2)/10)&lt;1,1,INT((VR_TDC-2)/10))))))</f>
        <v>#N/A</v>
      </c>
      <c r="J48" s="185"/>
      <c r="K48" s="509"/>
      <c r="L48" s="45"/>
      <c r="M48" s="173" t="e">
        <f t="shared" si="17"/>
        <v>#N/A</v>
      </c>
      <c r="N48" s="277"/>
      <c r="O48" s="278"/>
      <c r="P48" s="279"/>
      <c r="Q48" s="279"/>
      <c r="R48" s="395"/>
      <c r="S48" s="75" t="e">
        <f t="shared" si="18"/>
        <v>#N/A</v>
      </c>
      <c r="T48" s="81" t="e">
        <f t="shared" si="19"/>
        <v>#N/A</v>
      </c>
      <c r="V48" s="13"/>
      <c r="AI48" s="29"/>
      <c r="AK48" s="32"/>
      <c r="AM48" s="29"/>
      <c r="AN48" s="17"/>
      <c r="AO48" s="30"/>
      <c r="BE48" s="89"/>
    </row>
    <row r="49" spans="1:57" ht="13.5" thickBot="1">
      <c r="A49" s="185" t="e">
        <f>$A$41-'Transient LL'!$I$89*(M49-$M$41)*0.001</f>
        <v>#N/A</v>
      </c>
      <c r="B49" s="185" t="e">
        <f t="shared" si="10"/>
        <v>#N/A</v>
      </c>
      <c r="C49" s="192" t="e">
        <f t="shared" si="11"/>
        <v>#N/A</v>
      </c>
      <c r="D49" s="192" t="e">
        <f t="shared" si="12"/>
        <v>#N/A</v>
      </c>
      <c r="E49" s="191" t="str">
        <f t="shared" si="13"/>
        <v/>
      </c>
      <c r="F49" s="191">
        <f t="shared" si="14"/>
        <v>0</v>
      </c>
      <c r="G49" s="191">
        <f t="shared" si="15"/>
        <v>0</v>
      </c>
      <c r="H49" s="185" t="e">
        <f t="shared" si="16"/>
        <v>#N/A</v>
      </c>
      <c r="I49" s="575" t="e">
        <f>+IF((I48+(IF((IF(VR_TDC&lt;12,10,ROUND((1-((VR_TDC-2)/10-TRUNC((VR_TDC-2)/10)))*10,0)))&lt;7,1,0)+(IF(INT((VR_TDC-2)/10)&lt;1,1,INT((VR_TDC-2)/10)))))&gt;IF(VR_TDC&gt;Iccmax_PS1,Iccmax_PS1,VR_TDC),NA(),(I48+(IF((IF(VR_TDC&lt;12,10,ROUND((1-((VR_TDC-2)/10-TRUNC((VR_TDC-2)/10)))*10,0)))&lt;7,1,0)+(IF(INT((VR_TDC-2)/10)&lt;1,1,INT((VR_TDC-2)/10))))))</f>
        <v>#N/A</v>
      </c>
      <c r="J49" s="185"/>
      <c r="K49" s="509"/>
      <c r="L49" s="45"/>
      <c r="M49" s="173" t="e">
        <f t="shared" si="17"/>
        <v>#N/A</v>
      </c>
      <c r="N49" s="277"/>
      <c r="O49" s="278"/>
      <c r="P49" s="279"/>
      <c r="Q49" s="279"/>
      <c r="R49" s="395"/>
      <c r="S49" s="75" t="e">
        <f t="shared" si="18"/>
        <v>#N/A</v>
      </c>
      <c r="T49" s="81" t="e">
        <f t="shared" si="19"/>
        <v>#N/A</v>
      </c>
      <c r="V49" s="13"/>
      <c r="AI49" s="879" t="s">
        <v>32</v>
      </c>
      <c r="AJ49" s="880"/>
      <c r="AK49" s="170">
        <f>MAX(O41:O51)</f>
        <v>16.8</v>
      </c>
      <c r="AM49" s="879" t="s">
        <v>31</v>
      </c>
      <c r="AN49" s="880"/>
      <c r="AO49" s="77">
        <f>Ripple_PS1*2</f>
        <v>30</v>
      </c>
      <c r="BE49" s="89"/>
    </row>
    <row r="50" spans="1:57">
      <c r="A50" s="185" t="e">
        <f>$A$41-'Transient LL'!$I$89*(M50-$M$41)*0.001</f>
        <v>#N/A</v>
      </c>
      <c r="B50" s="185" t="e">
        <f t="shared" si="10"/>
        <v>#N/A</v>
      </c>
      <c r="C50" s="192" t="e">
        <f t="shared" si="11"/>
        <v>#N/A</v>
      </c>
      <c r="D50" s="192" t="e">
        <f t="shared" si="12"/>
        <v>#N/A</v>
      </c>
      <c r="E50" s="191" t="str">
        <f t="shared" si="13"/>
        <v/>
      </c>
      <c r="F50" s="191">
        <f t="shared" si="14"/>
        <v>0</v>
      </c>
      <c r="G50" s="191">
        <f t="shared" si="15"/>
        <v>0</v>
      </c>
      <c r="H50" s="185" t="e">
        <f t="shared" si="16"/>
        <v>#N/A</v>
      </c>
      <c r="I50" s="575" t="e">
        <f>+IF((I49+(IF((IF(VR_TDC&lt;12,10,ROUND((1-((VR_TDC-2)/10-TRUNC((VR_TDC-2)/10)))*10,0)))&lt;8,1,0)+(IF(INT((VR_TDC-2)/10)&lt;1,1,INT((VR_TDC-2)/10)))))&gt;IF(VR_TDC&gt;Iccmax_PS1,Iccmax_PS1,VR_TDC),NA(),(I49+(IF((IF(VR_TDC&lt;12,10,ROUND((1-((VR_TDC-2)/10-TRUNC((VR_TDC-2)/10)))*10,0)))&lt;8,1,0)+(IF(INT((VR_TDC-2)/10)&lt;1,1,INT((VR_TDC-2)/10))))))</f>
        <v>#N/A</v>
      </c>
      <c r="J50" s="185"/>
      <c r="K50" s="509"/>
      <c r="L50" s="45"/>
      <c r="M50" s="173" t="e">
        <f t="shared" si="17"/>
        <v>#N/A</v>
      </c>
      <c r="N50" s="277"/>
      <c r="O50" s="278"/>
      <c r="P50" s="279"/>
      <c r="Q50" s="279"/>
      <c r="R50" s="395"/>
      <c r="S50" s="75" t="e">
        <f t="shared" si="18"/>
        <v>#N/A</v>
      </c>
      <c r="T50" s="81" t="e">
        <f t="shared" si="19"/>
        <v>#N/A</v>
      </c>
      <c r="V50" s="13"/>
      <c r="AJ50"/>
      <c r="AN50" s="17"/>
      <c r="BE50" s="89"/>
    </row>
    <row r="51" spans="1:57">
      <c r="A51" s="185" t="e">
        <f>$A$41-'Transient LL'!$I$89*(M51-$M$41)*0.001</f>
        <v>#N/A</v>
      </c>
      <c r="B51" s="185" t="e">
        <f t="shared" si="10"/>
        <v>#N/A</v>
      </c>
      <c r="C51" s="192" t="e">
        <f t="shared" si="11"/>
        <v>#N/A</v>
      </c>
      <c r="D51" s="192" t="e">
        <f t="shared" si="12"/>
        <v>#N/A</v>
      </c>
      <c r="E51" s="191" t="str">
        <f t="shared" si="13"/>
        <v/>
      </c>
      <c r="F51" s="191">
        <f t="shared" si="14"/>
        <v>0</v>
      </c>
      <c r="G51" s="191">
        <f t="shared" si="15"/>
        <v>0</v>
      </c>
      <c r="H51" s="185" t="e">
        <f t="shared" si="16"/>
        <v>#N/A</v>
      </c>
      <c r="I51" s="575" t="e">
        <f>+IF((I50+(IF((IF(VR_TDC&lt;12,10,ROUND((1-((VR_TDC-2)/10-TRUNC((VR_TDC-2)/10)))*10,0)))&lt;9,1,0)+(IF(INT((VR_TDC-2)/10)&lt;1,1,INT((VR_TDC-2)/10)))))&gt;IF(VR_TDC&gt;Iccmax_PS1,Iccmax_PS1,VR_TDC),NA(),(I50+(IF((IF(VR_TDC&lt;12,10,ROUND((1-((VR_TDC-2)/10-TRUNC((VR_TDC-2)/10)))*10,0)))&lt;9,1,0)+(IF(INT((VR_TDC-2)/10)&lt;1,1,INT((VR_TDC-2)/10))))))</f>
        <v>#N/A</v>
      </c>
      <c r="J51" s="185"/>
      <c r="K51" s="101"/>
      <c r="L51" s="50"/>
      <c r="M51" s="173" t="e">
        <f t="shared" si="17"/>
        <v>#N/A</v>
      </c>
      <c r="N51" s="277"/>
      <c r="O51" s="278"/>
      <c r="P51" s="279"/>
      <c r="Q51" s="279"/>
      <c r="R51" s="395"/>
      <c r="S51" s="75" t="e">
        <f t="shared" si="18"/>
        <v>#N/A</v>
      </c>
      <c r="T51" s="81" t="e">
        <f t="shared" si="19"/>
        <v>#N/A</v>
      </c>
      <c r="V51" s="13"/>
      <c r="AI51" s="884" t="s">
        <v>56</v>
      </c>
      <c r="AJ51" s="884"/>
      <c r="AK51" s="884"/>
      <c r="AL51" s="884"/>
      <c r="AM51" s="884"/>
      <c r="AN51" s="884"/>
      <c r="AO51" s="884"/>
      <c r="AP51" s="153" t="s">
        <v>51</v>
      </c>
      <c r="BE51" s="89"/>
    </row>
    <row r="52" spans="1:57">
      <c r="A52" s="185" t="e">
        <f>$A$41-'Transient LL'!$I$89*(M52-$M$41)*0.001</f>
        <v>#N/A</v>
      </c>
      <c r="B52" s="185" t="e">
        <f t="shared" si="10"/>
        <v>#N/A</v>
      </c>
      <c r="C52" s="192" t="e">
        <f t="shared" si="11"/>
        <v>#N/A</v>
      </c>
      <c r="D52" s="192" t="e">
        <f t="shared" si="12"/>
        <v>#N/A</v>
      </c>
      <c r="E52" s="191" t="str">
        <f t="shared" si="13"/>
        <v/>
      </c>
      <c r="F52" s="191">
        <f t="shared" si="14"/>
        <v>0</v>
      </c>
      <c r="G52" s="191">
        <f t="shared" si="15"/>
        <v>0</v>
      </c>
      <c r="H52" s="185" t="e">
        <f t="shared" si="16"/>
        <v>#N/A</v>
      </c>
      <c r="I52" s="575" t="e">
        <f>+IF((I51+(IF((IF(VR_TDC&lt;12,10,ROUND((1-((VR_TDC-2)/10-TRUNC((VR_TDC-2)/10)))*10,0)))&lt;10,1,0)+(IF(INT((VR_TDC-2)/10)&lt;1,1,INT((VR_TDC-2)/10)))))&gt;IF(VR_TDC&gt;Iccmax_PS1,Iccmax_PS1,VR_TDC),NA(),(I51+(IF((IF(VR_TDC&lt;12,10,ROUND((1-((VR_TDC-2)/10-TRUNC((VR_TDC-2)/10)))*10,0)))&lt;10,1,0)+(IF(INT((VR_TDC-2)/10)&lt;1,1,INT((VR_TDC-2)/10))))))</f>
        <v>#N/A</v>
      </c>
      <c r="K52" s="102"/>
      <c r="M52" s="173" t="e">
        <f t="shared" si="17"/>
        <v>#N/A</v>
      </c>
      <c r="N52" s="277"/>
      <c r="O52" s="278"/>
      <c r="P52" s="279"/>
      <c r="Q52" s="279"/>
      <c r="R52" s="395"/>
      <c r="S52" s="75" t="e">
        <f t="shared" si="18"/>
        <v>#N/A</v>
      </c>
      <c r="T52" s="81" t="e">
        <f t="shared" si="19"/>
        <v>#N/A</v>
      </c>
      <c r="V52" s="13"/>
      <c r="AI52" s="884" t="str">
        <f>IF('Spec Entry'!G28="Design Validation","Is the DC LL tuned as close to the Ideal LL as possible?","Is the DC LL within the Min and Max LL Slope limits?")</f>
        <v>Is the DC LL within the Min and Max LL Slope limits?</v>
      </c>
      <c r="AJ52" s="884"/>
      <c r="AK52" s="884"/>
      <c r="AL52" s="884"/>
      <c r="AM52" s="884"/>
      <c r="AN52" s="884"/>
      <c r="AO52" s="884"/>
      <c r="AP52" s="153" t="s">
        <v>51</v>
      </c>
      <c r="BE52" s="89"/>
    </row>
    <row r="53" spans="1:57" ht="12.75" customHeight="1" thickBot="1">
      <c r="K53" s="102"/>
      <c r="M53" s="56"/>
      <c r="N53" s="109" t="s">
        <v>21</v>
      </c>
      <c r="O53" s="109" t="s">
        <v>21</v>
      </c>
      <c r="P53" s="109" t="s">
        <v>21</v>
      </c>
      <c r="Q53" s="109" t="s">
        <v>21</v>
      </c>
      <c r="R53" s="109" t="s">
        <v>21</v>
      </c>
      <c r="S53" s="110"/>
      <c r="T53" s="111"/>
      <c r="U53" s="53"/>
      <c r="V53" s="53"/>
      <c r="W53" s="53"/>
      <c r="X53" s="53"/>
      <c r="Y53" s="53"/>
      <c r="Z53" s="53"/>
      <c r="AI53" s="895" t="s">
        <v>147</v>
      </c>
      <c r="AJ53" s="896"/>
      <c r="AK53" s="896"/>
      <c r="AL53" s="896"/>
      <c r="AM53" s="896"/>
      <c r="AN53" s="896"/>
      <c r="AO53" s="897"/>
      <c r="AP53" s="153" t="s">
        <v>51</v>
      </c>
      <c r="BE53" s="89"/>
    </row>
    <row r="54" spans="1:57" ht="34.5" thickBot="1">
      <c r="K54" s="102"/>
      <c r="M54" s="56"/>
      <c r="N54" s="572" t="s">
        <v>35</v>
      </c>
      <c r="O54" s="572"/>
      <c r="Q54" s="53"/>
      <c r="R54" s="53"/>
      <c r="S54" s="53"/>
      <c r="T54" s="84"/>
      <c r="U54" s="17"/>
      <c r="V54" s="17"/>
      <c r="W54" s="17"/>
      <c r="X54" s="17"/>
      <c r="Y54" s="17"/>
      <c r="Z54" s="17"/>
      <c r="AI54" s="884" t="s">
        <v>59</v>
      </c>
      <c r="AJ54" s="884"/>
      <c r="AK54" s="884"/>
      <c r="AL54" s="884"/>
      <c r="AM54" s="884"/>
      <c r="AN54" s="884"/>
      <c r="AO54" s="884"/>
      <c r="AP54" s="153" t="s">
        <v>51</v>
      </c>
      <c r="BE54" s="89"/>
    </row>
    <row r="55" spans="1:57">
      <c r="K55" s="102"/>
      <c r="O55" s="17"/>
      <c r="P55" s="17"/>
      <c r="Q55" s="17"/>
      <c r="R55" s="17"/>
      <c r="S55" s="17"/>
      <c r="T55" s="24"/>
      <c r="U55" s="17"/>
      <c r="V55" s="17"/>
      <c r="W55" s="17"/>
      <c r="X55" s="17"/>
      <c r="Y55" s="17"/>
      <c r="Z55" s="17"/>
      <c r="AI55" s="171"/>
      <c r="AJ55" s="171"/>
      <c r="AK55" s="171"/>
      <c r="AL55" s="171"/>
      <c r="AM55" s="171"/>
      <c r="AN55" s="171"/>
      <c r="AO55" s="171"/>
      <c r="AP55" s="122"/>
      <c r="BE55" s="89"/>
    </row>
    <row r="56" spans="1:57">
      <c r="K56" s="102"/>
      <c r="O56" s="17"/>
      <c r="P56" s="17"/>
      <c r="Q56" s="17"/>
      <c r="R56" s="17"/>
      <c r="S56" s="17"/>
      <c r="T56" s="24"/>
      <c r="U56" s="17"/>
      <c r="V56" s="17"/>
      <c r="W56" s="17"/>
      <c r="X56" s="17"/>
      <c r="Y56" s="17"/>
      <c r="Z56" s="17"/>
      <c r="AI56" s="171"/>
      <c r="AJ56" s="171"/>
      <c r="AK56" s="171"/>
      <c r="AL56" s="171"/>
      <c r="AM56" s="171"/>
      <c r="AN56" s="171"/>
      <c r="AO56" s="171"/>
      <c r="AP56" s="122"/>
      <c r="BE56" s="89"/>
    </row>
    <row r="57" spans="1:57">
      <c r="K57" s="102"/>
      <c r="O57" s="17"/>
      <c r="P57" s="17"/>
      <c r="Q57" s="17"/>
      <c r="R57" s="17"/>
      <c r="S57" s="17"/>
      <c r="T57" s="24"/>
      <c r="U57" s="17"/>
      <c r="V57" s="17"/>
      <c r="W57" s="17"/>
      <c r="X57" s="17"/>
      <c r="Y57" s="17"/>
      <c r="Z57" s="17"/>
      <c r="AI57" s="171"/>
      <c r="AJ57" s="171"/>
      <c r="AK57" s="171"/>
      <c r="AL57" s="171"/>
      <c r="AM57" s="171"/>
      <c r="AN57" s="171"/>
      <c r="AO57" s="171"/>
      <c r="AP57" s="122"/>
      <c r="BE57" s="89"/>
    </row>
    <row r="58" spans="1:57">
      <c r="K58" s="102"/>
      <c r="O58" s="17"/>
      <c r="P58" s="17"/>
      <c r="Q58" s="17"/>
      <c r="R58" s="17"/>
      <c r="S58" s="17"/>
      <c r="T58" s="24"/>
      <c r="U58" s="17"/>
      <c r="V58" s="17"/>
      <c r="W58" s="17"/>
      <c r="X58" s="17"/>
      <c r="Y58" s="17"/>
      <c r="Z58" s="17"/>
      <c r="AI58" s="171"/>
      <c r="AJ58" s="171"/>
      <c r="AK58" s="171"/>
      <c r="AL58" s="171"/>
      <c r="AM58" s="171"/>
      <c r="AN58" s="171"/>
      <c r="AO58" s="171"/>
      <c r="AP58" s="122"/>
      <c r="BE58" s="89"/>
    </row>
    <row r="59" spans="1:57">
      <c r="K59" s="102"/>
      <c r="O59" s="17"/>
      <c r="P59" s="17"/>
      <c r="Q59" s="17"/>
      <c r="R59" s="17"/>
      <c r="S59" s="17"/>
      <c r="T59" s="24"/>
      <c r="U59" s="17"/>
      <c r="V59" s="17"/>
      <c r="W59" s="17"/>
      <c r="X59" s="17"/>
      <c r="Y59" s="17"/>
      <c r="Z59" s="17"/>
      <c r="AI59" s="171"/>
      <c r="AJ59" s="171"/>
      <c r="AK59" s="171"/>
      <c r="AL59" s="171"/>
      <c r="AM59" s="171"/>
      <c r="AN59" s="171"/>
      <c r="AO59" s="171"/>
      <c r="AP59" s="122"/>
      <c r="AR59" s="885" t="str">
        <f>"Is the measured IOUT data within the +/- Limit lines?"</f>
        <v>Is the measured IOUT data within the +/- Limit lines?</v>
      </c>
      <c r="AS59" s="885"/>
      <c r="AT59" s="885"/>
      <c r="AU59" s="885"/>
      <c r="AV59" s="885"/>
      <c r="AW59" s="885"/>
      <c r="AX59" s="885"/>
      <c r="AY59" s="153" t="s">
        <v>51</v>
      </c>
      <c r="BE59" s="89"/>
    </row>
    <row r="60" spans="1:57">
      <c r="K60" s="102"/>
      <c r="O60" s="17"/>
      <c r="P60" s="17"/>
      <c r="Q60" s="17"/>
      <c r="R60" s="17"/>
      <c r="S60" s="17"/>
      <c r="T60" s="24"/>
      <c r="U60" s="17"/>
      <c r="V60" s="17"/>
      <c r="W60" s="17"/>
      <c r="X60" s="17"/>
      <c r="Y60" s="17"/>
      <c r="Z60" s="17"/>
      <c r="AI60" s="171"/>
      <c r="AJ60" s="171"/>
      <c r="AK60" s="171"/>
      <c r="AL60" s="171"/>
      <c r="AM60" s="171"/>
      <c r="AN60" s="171"/>
      <c r="AO60" s="171"/>
      <c r="AP60" s="122"/>
      <c r="BE60" s="89"/>
    </row>
    <row r="61" spans="1:57">
      <c r="K61" s="102"/>
      <c r="Z61" s="13"/>
      <c r="BE61" s="89"/>
    </row>
    <row r="62" spans="1:57">
      <c r="K62" s="102"/>
      <c r="L62" s="102"/>
      <c r="M62" s="89"/>
      <c r="N62" s="89"/>
      <c r="O62" s="89"/>
      <c r="P62" s="89"/>
      <c r="Q62" s="89"/>
      <c r="R62" s="89"/>
      <c r="S62" s="89"/>
      <c r="T62" s="95"/>
      <c r="U62" s="89"/>
      <c r="V62" s="89"/>
      <c r="W62" s="89"/>
      <c r="X62" s="89"/>
      <c r="Y62" s="89"/>
      <c r="Z62" s="95"/>
      <c r="AA62" s="89"/>
      <c r="AB62" s="89"/>
      <c r="AC62" s="89"/>
      <c r="AD62" s="89"/>
      <c r="AE62" s="89"/>
      <c r="AF62" s="89"/>
      <c r="AG62" s="89"/>
      <c r="AH62" s="89"/>
      <c r="AI62" s="89"/>
      <c r="AJ62" s="93"/>
      <c r="AK62" s="95"/>
      <c r="AL62" s="89"/>
      <c r="AM62" s="89"/>
      <c r="AN62" s="89"/>
      <c r="AO62" s="89"/>
      <c r="AP62" s="89"/>
      <c r="AQ62" s="89"/>
      <c r="AR62" s="89"/>
      <c r="AS62" s="89"/>
      <c r="AT62" s="89"/>
      <c r="AU62" s="89"/>
      <c r="AV62" s="89"/>
      <c r="AW62" s="89"/>
      <c r="AX62" s="89"/>
      <c r="AY62" s="89"/>
      <c r="AZ62" s="89"/>
      <c r="BA62" s="89"/>
      <c r="BB62" s="89"/>
      <c r="BC62" s="89"/>
      <c r="BD62" s="89"/>
      <c r="BE62" s="89"/>
    </row>
    <row r="63" spans="1:57">
      <c r="Z63" s="13"/>
    </row>
    <row r="64" spans="1:57">
      <c r="Z64" s="13"/>
    </row>
    <row r="65" spans="1:59">
      <c r="C65" s="188"/>
      <c r="D65" s="187"/>
      <c r="E65" s="187"/>
      <c r="F65" s="187"/>
      <c r="G65" s="187"/>
      <c r="K65" s="508"/>
      <c r="L65" s="99"/>
      <c r="M65" s="99"/>
      <c r="N65" s="99"/>
      <c r="O65" s="99"/>
      <c r="P65" s="99"/>
      <c r="Q65" s="99"/>
      <c r="R65" s="99"/>
      <c r="S65" s="99"/>
      <c r="T65" s="90"/>
      <c r="U65" s="99"/>
      <c r="V65" s="99"/>
      <c r="W65" s="99"/>
      <c r="X65" s="99"/>
      <c r="Y65" s="99"/>
      <c r="Z65" s="89"/>
      <c r="AA65" s="89"/>
      <c r="AB65" s="89"/>
      <c r="AC65" s="89"/>
      <c r="AD65" s="89"/>
      <c r="AE65" s="89"/>
      <c r="AF65" s="89"/>
      <c r="AG65" s="89"/>
      <c r="AH65" s="89"/>
      <c r="AI65" s="89"/>
      <c r="AJ65" s="93"/>
      <c r="AK65" s="95"/>
      <c r="AL65" s="89"/>
      <c r="AM65" s="89"/>
      <c r="AN65" s="89"/>
      <c r="AO65" s="89"/>
      <c r="AP65" s="89"/>
      <c r="AQ65" s="89"/>
      <c r="AR65" s="89"/>
      <c r="AS65" s="89"/>
      <c r="AT65" s="89"/>
      <c r="AU65" s="89"/>
      <c r="AV65" s="89"/>
      <c r="AW65" s="89"/>
      <c r="AX65" s="89"/>
      <c r="AY65" s="89"/>
      <c r="AZ65" s="89"/>
      <c r="BA65" s="89"/>
      <c r="BB65" s="89"/>
      <c r="BC65" s="89"/>
      <c r="BD65" s="89"/>
      <c r="BE65" s="89"/>
      <c r="BF65" s="89"/>
      <c r="BG65" s="89"/>
    </row>
    <row r="66" spans="1:59">
      <c r="C66" s="188"/>
      <c r="D66" s="187"/>
      <c r="E66" s="187"/>
      <c r="F66" s="187"/>
      <c r="G66" s="187"/>
      <c r="K66" s="508"/>
      <c r="L66" s="19"/>
      <c r="M66" s="19"/>
      <c r="N66" s="19"/>
      <c r="O66" s="19"/>
      <c r="P66" s="19"/>
      <c r="Q66" s="19"/>
      <c r="R66" s="19"/>
      <c r="S66" s="19"/>
      <c r="T66" s="20"/>
      <c r="U66" s="19"/>
      <c r="V66" s="19"/>
      <c r="W66" s="19"/>
      <c r="X66" s="19"/>
      <c r="Y66" s="19"/>
      <c r="BG66" s="89"/>
    </row>
    <row r="67" spans="1:59" ht="30" customHeight="1">
      <c r="K67" s="102"/>
      <c r="M67" s="923" t="s">
        <v>154</v>
      </c>
      <c r="N67" s="924"/>
      <c r="O67" s="924"/>
      <c r="P67" s="924"/>
      <c r="Q67" s="924"/>
      <c r="R67" s="924"/>
      <c r="S67" s="924"/>
      <c r="T67" s="924"/>
      <c r="U67" s="924"/>
      <c r="V67" s="924"/>
      <c r="W67" s="34"/>
      <c r="X67" s="34"/>
      <c r="Y67" s="34"/>
      <c r="Z67" s="34"/>
      <c r="BG67" s="89"/>
    </row>
    <row r="68" spans="1:59" ht="13.5" thickBot="1">
      <c r="K68" s="102"/>
      <c r="M68" s="863" t="str">
        <f>"VID set to "&amp;VID_2&amp;"V"</f>
        <v>VID set to 0.6V</v>
      </c>
      <c r="N68" s="864"/>
      <c r="O68" s="860" t="s">
        <v>100</v>
      </c>
      <c r="P68" s="862"/>
      <c r="Q68" s="860" t="s">
        <v>100</v>
      </c>
      <c r="R68" s="861"/>
      <c r="S68" s="862"/>
      <c r="T68" s="368"/>
      <c r="U68" s="175"/>
      <c r="V68" s="176"/>
      <c r="W68" s="35"/>
      <c r="X68" s="35"/>
      <c r="Y68" s="35"/>
      <c r="Z68" s="35"/>
      <c r="AA68" s="35"/>
      <c r="AB68" s="35"/>
      <c r="BG68" s="89"/>
    </row>
    <row r="69" spans="1:59" ht="33.75">
      <c r="A69" s="185" t="s">
        <v>107</v>
      </c>
      <c r="B69" s="185" t="s">
        <v>105</v>
      </c>
      <c r="C69" s="188" t="s">
        <v>33</v>
      </c>
      <c r="D69" s="187" t="str">
        <f>"Max LL Slope"</f>
        <v>Max LL Slope</v>
      </c>
      <c r="E69" s="187" t="s">
        <v>97</v>
      </c>
      <c r="F69" s="187" t="s">
        <v>108</v>
      </c>
      <c r="G69" s="187" t="s">
        <v>109</v>
      </c>
      <c r="H69" s="185" t="s">
        <v>106</v>
      </c>
      <c r="K69" s="102"/>
      <c r="M69" s="174" t="s">
        <v>48</v>
      </c>
      <c r="N69" s="106" t="s">
        <v>43</v>
      </c>
      <c r="O69" s="106" t="s">
        <v>46</v>
      </c>
      <c r="P69" s="287" t="s">
        <v>156</v>
      </c>
      <c r="Q69" s="287" t="s">
        <v>155</v>
      </c>
      <c r="R69" s="106" t="s">
        <v>44</v>
      </c>
      <c r="S69" s="106" t="s">
        <v>45</v>
      </c>
      <c r="T69" s="366" t="s">
        <v>292</v>
      </c>
      <c r="U69" s="107" t="s">
        <v>23</v>
      </c>
      <c r="V69" s="108" t="s">
        <v>47</v>
      </c>
      <c r="AK69" s="898" t="s">
        <v>190</v>
      </c>
      <c r="AL69" s="899"/>
      <c r="AM69" s="900"/>
      <c r="AO69" s="881" t="s">
        <v>191</v>
      </c>
      <c r="AP69" s="882"/>
      <c r="AQ69" s="883"/>
      <c r="BG69" s="89"/>
    </row>
    <row r="70" spans="1:59">
      <c r="A70" s="190">
        <f>N70</f>
        <v>0.60109999999999997</v>
      </c>
      <c r="B70" s="185">
        <f>VID_2+(V_TOB_Imax_PS2+POS_Ripple_PS2)*0.001</f>
        <v>0.65</v>
      </c>
      <c r="C70" s="191">
        <f>IF('Spec Entry'!$G$28="Design Validation","",$N$70)</f>
        <v>0.60109999999999997</v>
      </c>
      <c r="D70" s="191">
        <f>IF('Spec Entry'!$G$28="Design Validation","",$N$70)</f>
        <v>0.60109999999999997</v>
      </c>
      <c r="E70" s="191" t="str">
        <f>IF('Spec Entry'!$G$28="HVM Validation","",N70)</f>
        <v/>
      </c>
      <c r="F70" s="191">
        <f>N70+(O70*0.001)/2</f>
        <v>0.60749999999999993</v>
      </c>
      <c r="G70" s="191">
        <f>N70-(O70*0.001)/2</f>
        <v>0.59470000000000001</v>
      </c>
      <c r="H70" s="185">
        <f>VID_2-(V_TOB_Imax_PS2+Neg_Ripple_PS2)*0.001</f>
        <v>0.56999999999999995</v>
      </c>
      <c r="K70" s="100"/>
      <c r="L70" s="49"/>
      <c r="M70" s="173">
        <v>0</v>
      </c>
      <c r="N70" s="277">
        <v>0.60109999999999997</v>
      </c>
      <c r="O70" s="278">
        <v>12.8</v>
      </c>
      <c r="P70" s="279">
        <v>5.7759999999999998</v>
      </c>
      <c r="Q70" s="279">
        <v>7.024</v>
      </c>
      <c r="R70" s="395"/>
      <c r="S70" s="279"/>
      <c r="T70" s="395">
        <v>0</v>
      </c>
      <c r="U70" s="67"/>
      <c r="V70" s="81" t="e">
        <f>(N70*M70)/(R70*S70)</f>
        <v>#DIV/0!</v>
      </c>
      <c r="AK70" s="871" t="s">
        <v>30</v>
      </c>
      <c r="AL70" s="872"/>
      <c r="AM70" s="31">
        <f>N70</f>
        <v>0.60109999999999997</v>
      </c>
      <c r="AO70" s="873" t="s">
        <v>28</v>
      </c>
      <c r="AP70" s="874"/>
      <c r="AQ70" s="76">
        <f>VID_2-(R_DC_LL*0.001*M70)-(V_TOB_Imin*0.001)</f>
        <v>0.59499999999999997</v>
      </c>
      <c r="BG70" s="89"/>
    </row>
    <row r="71" spans="1:59">
      <c r="A71" s="185">
        <f>$A$70-'Transient LL'!$I$118*(M71-$M$70)*0.001</f>
        <v>0.58869999999999978</v>
      </c>
      <c r="B71" s="185">
        <f>$B$70-((M71-$M$70)*ABS(R_DC_LL)*0.001)</f>
        <v>0.64639999999999997</v>
      </c>
      <c r="C71" s="192">
        <f>IF($C$70=$N$70,$N$70-((M71-$M$70)*(R_DC_LL_min_PS2*0.001)),"")</f>
        <v>0.60750000000000004</v>
      </c>
      <c r="D71" s="192">
        <f>IF($D$70=$N$70,$N$70-((M71-$M$70)*(R_DC_LL_max_PS2*0.001)),"")</f>
        <v>0.58750000000000002</v>
      </c>
      <c r="E71" s="191" t="str">
        <f>IF($E$70=$N$70,$N$70-(ABS(R_DC_LL*0.001)*(M71-$M$70)),"")</f>
        <v/>
      </c>
      <c r="F71" s="191">
        <f>N71+(O71*0.001)/2</f>
        <v>0.60630000000000006</v>
      </c>
      <c r="G71" s="191">
        <f>N71-(O71*0.001)/2</f>
        <v>0.5907</v>
      </c>
      <c r="H71" s="185">
        <f>$H$70-((M71-$M$70)*ABS(R_DC_LL)*0.001)</f>
        <v>0.5663999999999999</v>
      </c>
      <c r="I71" s="575">
        <v>2</v>
      </c>
      <c r="K71" s="509"/>
      <c r="L71" s="45"/>
      <c r="M71" s="173">
        <f>I71</f>
        <v>2</v>
      </c>
      <c r="N71" s="277">
        <v>0.59850000000000003</v>
      </c>
      <c r="O71" s="278">
        <v>15.6</v>
      </c>
      <c r="P71" s="279">
        <v>7.3860000000000001</v>
      </c>
      <c r="Q71" s="279">
        <v>8.8339999999999996</v>
      </c>
      <c r="R71" s="395"/>
      <c r="S71" s="279"/>
      <c r="T71" s="395">
        <v>8</v>
      </c>
      <c r="U71" s="75">
        <f>(N70-N71)/(M71-M70)*1000</f>
        <v>1.2999999999999678</v>
      </c>
      <c r="V71" s="81" t="e">
        <f>(N71*M71)/(R71*S71)</f>
        <v>#DIV/0!</v>
      </c>
      <c r="AK71" s="29"/>
      <c r="AL71" s="17"/>
      <c r="AM71" s="32"/>
      <c r="AO71" s="873" t="s">
        <v>29</v>
      </c>
      <c r="AP71" s="874"/>
      <c r="AQ71" s="76">
        <f>VID_2-(R_DC_LL*0.001*M70)+(V_TOB_Imin*0.001)+0.01</f>
        <v>0.61499999999999999</v>
      </c>
      <c r="BG71" s="89"/>
    </row>
    <row r="72" spans="1:59">
      <c r="A72" s="185">
        <f>$A$70-'Transient LL'!$I$118*(M72-$M$70)*0.001</f>
        <v>0.58249999999999968</v>
      </c>
      <c r="B72" s="185">
        <f>$B$70-((M72-$M$70)*ABS(R_DC_LL)*0.001)</f>
        <v>0.64460000000000006</v>
      </c>
      <c r="C72" s="192">
        <f>IF($C$70=$N$70,$N$70-((M72-$M$70)*(R_DC_LL_min_PS2*0.001)),"")</f>
        <v>0.61070000000000002</v>
      </c>
      <c r="D72" s="192">
        <f>IF($D$70=$N$70,$N$70-((M72-$M$70)*(R_DC_LL_max_PS2*0.001)),"")</f>
        <v>0.58069999999999999</v>
      </c>
      <c r="E72" s="191" t="str">
        <f>IF($E$70=$N$70,$N$70-(ABS(R_DC_LL*0.001)*(M72-$M$70)),"")</f>
        <v/>
      </c>
      <c r="F72" s="191">
        <f>N72+(O72*0.001)/2</f>
        <v>0.60399999999999998</v>
      </c>
      <c r="G72" s="191">
        <f>N72-(O72*0.001)/2</f>
        <v>0.58920000000000006</v>
      </c>
      <c r="H72" s="185">
        <f>$H$70-((M72-$M$70)*ABS(R_DC_LL)*0.001)</f>
        <v>0.56459999999999999</v>
      </c>
      <c r="I72" s="575">
        <v>3</v>
      </c>
      <c r="K72" s="509"/>
      <c r="L72" s="45"/>
      <c r="M72" s="173">
        <f>I72</f>
        <v>3</v>
      </c>
      <c r="N72" s="277">
        <v>0.59660000000000002</v>
      </c>
      <c r="O72" s="278">
        <v>14.8</v>
      </c>
      <c r="P72" s="279">
        <v>6.234</v>
      </c>
      <c r="Q72" s="279">
        <v>8.5660000000000007</v>
      </c>
      <c r="R72" s="395"/>
      <c r="S72" s="279"/>
      <c r="T72" s="395" t="s">
        <v>549</v>
      </c>
      <c r="U72" s="75">
        <f>(N71-N72)/(M72-M71)*1000</f>
        <v>1.9000000000000128</v>
      </c>
      <c r="V72" s="81" t="e">
        <f>(N72*M72)/(R72*S72)</f>
        <v>#DIV/0!</v>
      </c>
      <c r="AK72" s="29"/>
      <c r="AL72" s="17"/>
      <c r="AM72" s="32"/>
      <c r="AO72" s="26"/>
      <c r="AP72" s="24"/>
      <c r="AQ72" s="27"/>
      <c r="BG72" s="89"/>
    </row>
    <row r="73" spans="1:59">
      <c r="A73" s="185">
        <f>$A$70-'Transient LL'!$I$118*(M73-$M$70)*0.001</f>
        <v>0.57629999999999959</v>
      </c>
      <c r="B73" s="185">
        <f>$B$70-((M73-$M$70)*ABS(R_DC_LL)*0.001)</f>
        <v>0.64280000000000004</v>
      </c>
      <c r="C73" s="192">
        <f>IF($C$70=$N$70,$N$70-((M73-$M$70)*(R_DC_LL_min_PS2*0.001)),"")</f>
        <v>0.6139</v>
      </c>
      <c r="D73" s="192">
        <f>IF($D$70=$N$70,$N$70-((M73-$M$70)*(R_DC_LL_max_PS2*0.001)),"")</f>
        <v>0.57389999999999997</v>
      </c>
      <c r="E73" s="191" t="str">
        <f>IF($E$70=$N$70,$N$70-(ABS(R_DC_LL*0.001)*(M73-$M$70)),"")</f>
        <v/>
      </c>
      <c r="F73" s="191">
        <f>N73+(O73*0.001)/2</f>
        <v>0.60230000000000006</v>
      </c>
      <c r="G73" s="191">
        <f>N73-(O73*0.001)/2</f>
        <v>0.58709999999999996</v>
      </c>
      <c r="H73" s="185">
        <f>$H$70-((M73-$M$70)*ABS(R_DC_LL)*0.001)</f>
        <v>0.56279999999999997</v>
      </c>
      <c r="I73" s="575">
        <v>4</v>
      </c>
      <c r="K73" s="509"/>
      <c r="L73" s="45"/>
      <c r="M73" s="173">
        <f>I73</f>
        <v>4</v>
      </c>
      <c r="N73" s="277">
        <v>0.59470000000000001</v>
      </c>
      <c r="O73" s="278">
        <v>15.2</v>
      </c>
      <c r="P73" s="279">
        <v>6.5659999999999998</v>
      </c>
      <c r="Q73" s="279">
        <v>8.6340000000000003</v>
      </c>
      <c r="R73" s="395"/>
      <c r="S73" s="279"/>
      <c r="T73" s="395">
        <v>10</v>
      </c>
      <c r="U73" s="75">
        <f>(N72-N73)/(M73-M72)*1000</f>
        <v>1.9000000000000128</v>
      </c>
      <c r="V73" s="81" t="e">
        <f>(N73*M73)/(R73*S73)</f>
        <v>#DIV/0!</v>
      </c>
      <c r="AK73" s="29"/>
      <c r="AL73" s="17"/>
      <c r="AM73" s="32"/>
      <c r="AO73" s="28"/>
      <c r="AP73" s="23"/>
      <c r="AQ73" s="27"/>
      <c r="BG73" s="89"/>
    </row>
    <row r="74" spans="1:59">
      <c r="A74" s="185">
        <f>$A$70-'Transient LL'!$I$118*(M74-$M$70)*0.001</f>
        <v>0.5700999999999995</v>
      </c>
      <c r="B74" s="185">
        <f>$B$70-((M74-$M$70)*ABS(R_DC_LL)*0.001)</f>
        <v>0.64100000000000001</v>
      </c>
      <c r="C74" s="192">
        <f>IF($C$70=$N$70,$N$70-((M74-$M$70)*(R_DC_LL_min_PS2*0.001)),"")</f>
        <v>0.61710000000000009</v>
      </c>
      <c r="D74" s="192">
        <f>IF($D$70=$N$70,$N$70-((M74-$M$70)*(R_DC_LL_max_PS2*0.001)),"")</f>
        <v>0.56710000000000005</v>
      </c>
      <c r="E74" s="191" t="str">
        <f>IF($E$70=$N$70,$N$70-(ABS(R_DC_LL*0.001)*(M74-$M$70)),"")</f>
        <v/>
      </c>
      <c r="F74" s="191">
        <f>N74+(O74*0.001)/2</f>
        <v>0.6008</v>
      </c>
      <c r="G74" s="191">
        <f>N74-(O74*0.001)/2</f>
        <v>0.58519999999999994</v>
      </c>
      <c r="H74" s="185">
        <f>$H$70-((M74-$M$70)*ABS(R_DC_LL)*0.001)</f>
        <v>0.56099999999999994</v>
      </c>
      <c r="I74" s="575">
        <v>5</v>
      </c>
      <c r="K74" s="509"/>
      <c r="L74" s="45"/>
      <c r="M74" s="173">
        <f>I74</f>
        <v>5</v>
      </c>
      <c r="N74" s="277">
        <v>0.59299999999999997</v>
      </c>
      <c r="O74" s="278">
        <v>15.6</v>
      </c>
      <c r="P74" s="279">
        <v>7.234</v>
      </c>
      <c r="Q74" s="279">
        <v>8.3659999999999997</v>
      </c>
      <c r="R74" s="395"/>
      <c r="S74" s="279"/>
      <c r="T74" s="395">
        <v>14</v>
      </c>
      <c r="U74" s="75">
        <f>(N73-N74)/(M74-M73)*1000</f>
        <v>1.7000000000000348</v>
      </c>
      <c r="V74" s="81" t="e">
        <f>(N74*M74)/(R74*S74)</f>
        <v>#DIV/0!</v>
      </c>
      <c r="AK74" s="871" t="s">
        <v>24</v>
      </c>
      <c r="AL74" s="872"/>
      <c r="AM74" s="149">
        <f>AVERAGE(U71:U74)</f>
        <v>1.7000000000000071</v>
      </c>
      <c r="AO74" s="873" t="s">
        <v>27</v>
      </c>
      <c r="AP74" s="874"/>
      <c r="AQ74" s="150">
        <f>R_DC_LL</f>
        <v>1.8</v>
      </c>
      <c r="BG74" s="89"/>
    </row>
    <row r="75" spans="1:59" ht="15.75" thickBot="1">
      <c r="B75" s="185"/>
      <c r="C75" s="192"/>
      <c r="D75" s="192"/>
      <c r="E75" s="191"/>
      <c r="F75" s="191"/>
      <c r="G75" s="191"/>
      <c r="H75" s="185"/>
      <c r="K75" s="509"/>
      <c r="L75" s="45"/>
      <c r="M75" s="56"/>
      <c r="N75" s="109" t="s">
        <v>21</v>
      </c>
      <c r="O75" s="109" t="s">
        <v>21</v>
      </c>
      <c r="P75" s="109" t="s">
        <v>21</v>
      </c>
      <c r="Q75" s="109" t="s">
        <v>21</v>
      </c>
      <c r="R75" s="109" t="s">
        <v>21</v>
      </c>
      <c r="S75" s="109" t="s">
        <v>21</v>
      </c>
      <c r="T75" s="109" t="s">
        <v>21</v>
      </c>
      <c r="AK75" s="871" t="s">
        <v>25</v>
      </c>
      <c r="AL75" s="872"/>
      <c r="AM75" s="149">
        <f>MAX(U71:U74)</f>
        <v>1.9000000000000128</v>
      </c>
      <c r="AO75" s="873"/>
      <c r="AP75" s="874"/>
      <c r="AQ75" s="150"/>
      <c r="BG75" s="89"/>
    </row>
    <row r="76" spans="1:59" ht="13.5" customHeight="1" thickBot="1">
      <c r="B76" s="185"/>
      <c r="C76" s="192"/>
      <c r="D76" s="192"/>
      <c r="E76" s="191"/>
      <c r="F76" s="191"/>
      <c r="G76" s="191"/>
      <c r="H76" s="185"/>
      <c r="K76" s="509"/>
      <c r="L76" s="45"/>
      <c r="M76" s="56"/>
      <c r="N76" s="894" t="s">
        <v>35</v>
      </c>
      <c r="O76" s="894"/>
      <c r="T76"/>
      <c r="AK76" s="873" t="s">
        <v>26</v>
      </c>
      <c r="AL76" s="874"/>
      <c r="AM76" s="149">
        <f>MIN(U71:U74)</f>
        <v>1.2999999999999678</v>
      </c>
      <c r="AO76" s="29"/>
      <c r="AP76" s="17"/>
      <c r="AQ76" s="30"/>
      <c r="BG76" s="89"/>
    </row>
    <row r="77" spans="1:59">
      <c r="B77" s="185"/>
      <c r="C77" s="192"/>
      <c r="D77" s="192"/>
      <c r="E77" s="191"/>
      <c r="F77" s="191"/>
      <c r="G77" s="191"/>
      <c r="H77" s="185"/>
      <c r="K77" s="509"/>
      <c r="L77" s="45"/>
      <c r="AK77" s="29"/>
      <c r="AL77" s="17"/>
      <c r="AM77" s="32"/>
      <c r="AO77" s="29"/>
      <c r="AP77" s="17"/>
      <c r="AQ77" s="30"/>
      <c r="BG77" s="89"/>
    </row>
    <row r="78" spans="1:59">
      <c r="B78" s="185"/>
      <c r="C78" s="192"/>
      <c r="D78" s="192"/>
      <c r="E78" s="191"/>
      <c r="F78" s="191"/>
      <c r="G78" s="191"/>
      <c r="H78" s="185"/>
      <c r="K78" s="509"/>
      <c r="L78" s="45"/>
      <c r="AK78" s="873" t="s">
        <v>157</v>
      </c>
      <c r="AL78" s="874"/>
      <c r="AM78" s="31">
        <f>MAX(O70:O74)</f>
        <v>15.6</v>
      </c>
      <c r="AO78" s="873" t="s">
        <v>31</v>
      </c>
      <c r="AP78" s="874"/>
      <c r="AQ78" s="25">
        <f>POS_Ripple_PS2+Neg_Ripple_PS2</f>
        <v>40</v>
      </c>
      <c r="BG78" s="89"/>
    </row>
    <row r="79" spans="1:59">
      <c r="B79" s="185"/>
      <c r="C79" s="192"/>
      <c r="D79" s="192"/>
      <c r="E79" s="191"/>
      <c r="F79" s="191"/>
      <c r="G79" s="191"/>
      <c r="H79" s="185"/>
      <c r="K79" s="509"/>
      <c r="L79" s="45"/>
      <c r="AJ79"/>
      <c r="AK79" s="26"/>
      <c r="AL79" s="17"/>
      <c r="AM79" s="30"/>
      <c r="AN79" s="17"/>
      <c r="AO79" s="29"/>
      <c r="AP79" s="17"/>
      <c r="AQ79" s="30"/>
      <c r="BG79" s="89"/>
    </row>
    <row r="80" spans="1:59">
      <c r="B80" s="185"/>
      <c r="C80" s="192"/>
      <c r="D80" s="192"/>
      <c r="E80" s="191"/>
      <c r="F80" s="191"/>
      <c r="G80" s="191"/>
      <c r="H80" s="185"/>
      <c r="K80" s="101"/>
      <c r="L80" s="50"/>
      <c r="AK80" s="873" t="s">
        <v>158</v>
      </c>
      <c r="AL80" s="874"/>
      <c r="AM80" s="31">
        <f>MAX(P70:P74)</f>
        <v>7.3860000000000001</v>
      </c>
      <c r="AO80" s="873" t="s">
        <v>160</v>
      </c>
      <c r="AP80" s="874"/>
      <c r="AQ80" s="25">
        <f>Neg_Ripple_PS2</f>
        <v>10</v>
      </c>
      <c r="BG80" s="89"/>
    </row>
    <row r="81" spans="3:59">
      <c r="K81" s="102"/>
      <c r="AK81" s="26"/>
      <c r="AL81" s="17"/>
      <c r="AM81" s="30"/>
      <c r="AO81" s="29"/>
      <c r="AP81" s="17"/>
      <c r="AQ81" s="30"/>
      <c r="BG81" s="89"/>
    </row>
    <row r="82" spans="3:59" ht="12.75" customHeight="1" thickBot="1">
      <c r="K82" s="102"/>
      <c r="U82" s="53"/>
      <c r="W82" s="53"/>
      <c r="X82" s="53"/>
      <c r="Y82" s="53"/>
      <c r="Z82" s="53"/>
      <c r="AK82" s="879" t="s">
        <v>159</v>
      </c>
      <c r="AL82" s="880"/>
      <c r="AM82" s="170">
        <f>MAX(Q70:Q74)</f>
        <v>8.8339999999999996</v>
      </c>
      <c r="AO82" s="879" t="s">
        <v>161</v>
      </c>
      <c r="AP82" s="880"/>
      <c r="AQ82" s="40">
        <f>POS_Ripple_PS2</f>
        <v>30</v>
      </c>
      <c r="BG82" s="89"/>
    </row>
    <row r="83" spans="3:59" ht="12.75" customHeight="1">
      <c r="K83" s="102"/>
      <c r="O83" s="17"/>
      <c r="P83" s="17"/>
      <c r="Q83" s="910" t="s">
        <v>188</v>
      </c>
      <c r="R83" s="911"/>
      <c r="S83" s="911"/>
      <c r="T83" s="911"/>
      <c r="U83" s="911"/>
      <c r="V83" s="912"/>
      <c r="W83" s="17"/>
      <c r="X83" s="17"/>
      <c r="Y83" s="17"/>
      <c r="Z83" s="17"/>
      <c r="BG83" s="89"/>
    </row>
    <row r="84" spans="3:59">
      <c r="K84" s="102"/>
      <c r="O84" s="17"/>
      <c r="P84" s="17"/>
      <c r="Q84" s="913"/>
      <c r="R84" s="914"/>
      <c r="S84" s="914"/>
      <c r="T84" s="914"/>
      <c r="U84" s="914"/>
      <c r="V84" s="915"/>
      <c r="W84" s="17"/>
      <c r="X84" s="17"/>
      <c r="Y84" s="17"/>
      <c r="Z84" s="17"/>
      <c r="AI84" s="171"/>
      <c r="AJ84" s="884" t="s">
        <v>56</v>
      </c>
      <c r="AK84" s="884"/>
      <c r="AL84" s="884"/>
      <c r="AM84" s="884"/>
      <c r="AN84" s="884"/>
      <c r="AO84" s="884"/>
      <c r="AP84" s="884"/>
      <c r="AQ84" s="153" t="s">
        <v>51</v>
      </c>
      <c r="BG84" s="89"/>
    </row>
    <row r="85" spans="3:59">
      <c r="K85" s="102"/>
      <c r="O85" s="17"/>
      <c r="P85" s="17"/>
      <c r="Q85" s="913"/>
      <c r="R85" s="914"/>
      <c r="S85" s="914"/>
      <c r="T85" s="914"/>
      <c r="U85" s="914"/>
      <c r="V85" s="915"/>
      <c r="W85" s="17"/>
      <c r="X85" s="17"/>
      <c r="Y85" s="17"/>
      <c r="Z85" s="17"/>
      <c r="AI85" s="171"/>
      <c r="AJ85" s="884" t="str">
        <f>IF('Spec Entry'!$G$28="Design Validation","Is the DC LL tuned as close to the Ideal LL as possible?","Is the DC LL within the Min and Max LL Slope limits?")</f>
        <v>Is the DC LL within the Min and Max LL Slope limits?</v>
      </c>
      <c r="AK85" s="884"/>
      <c r="AL85" s="884"/>
      <c r="AM85" s="884"/>
      <c r="AN85" s="884"/>
      <c r="AO85" s="884"/>
      <c r="AP85" s="884"/>
      <c r="AQ85" s="153" t="s">
        <v>51</v>
      </c>
      <c r="BG85" s="89"/>
    </row>
    <row r="86" spans="3:59">
      <c r="K86" s="102"/>
      <c r="O86" s="17"/>
      <c r="P86" s="17"/>
      <c r="Q86" s="913"/>
      <c r="R86" s="914"/>
      <c r="S86" s="914"/>
      <c r="T86" s="914"/>
      <c r="U86" s="914"/>
      <c r="V86" s="915"/>
      <c r="W86" s="17"/>
      <c r="X86" s="17"/>
      <c r="Y86" s="17"/>
      <c r="Z86" s="17"/>
      <c r="AI86" s="171"/>
      <c r="AJ86" s="895" t="s">
        <v>94</v>
      </c>
      <c r="AK86" s="896"/>
      <c r="AL86" s="896"/>
      <c r="AM86" s="896"/>
      <c r="AN86" s="896"/>
      <c r="AO86" s="896"/>
      <c r="AP86" s="897"/>
      <c r="AQ86" s="153" t="s">
        <v>51</v>
      </c>
      <c r="BG86" s="89"/>
    </row>
    <row r="87" spans="3:59">
      <c r="K87" s="102"/>
      <c r="O87" s="17"/>
      <c r="P87" s="17"/>
      <c r="Q87" s="913"/>
      <c r="R87" s="914"/>
      <c r="S87" s="914"/>
      <c r="T87" s="914"/>
      <c r="U87" s="914"/>
      <c r="V87" s="915"/>
      <c r="W87" s="17"/>
      <c r="X87" s="17"/>
      <c r="Y87" s="17"/>
      <c r="Z87" s="17"/>
      <c r="AI87" s="171"/>
      <c r="AJ87" s="884" t="s">
        <v>162</v>
      </c>
      <c r="AK87" s="884"/>
      <c r="AL87" s="884"/>
      <c r="AM87" s="884"/>
      <c r="AN87" s="884"/>
      <c r="AO87" s="884"/>
      <c r="AP87" s="884"/>
      <c r="AQ87" s="153" t="s">
        <v>51</v>
      </c>
      <c r="BG87" s="89"/>
    </row>
    <row r="88" spans="3:59">
      <c r="K88" s="102"/>
      <c r="O88" s="17"/>
      <c r="P88" s="17"/>
      <c r="Q88" s="913"/>
      <c r="R88" s="914"/>
      <c r="S88" s="914"/>
      <c r="T88" s="914"/>
      <c r="U88" s="914"/>
      <c r="V88" s="915"/>
      <c r="W88" s="17"/>
      <c r="X88" s="17"/>
      <c r="Y88" s="17"/>
      <c r="Z88" s="17"/>
      <c r="AI88" s="171"/>
      <c r="AJ88" s="171"/>
      <c r="AK88" s="171"/>
      <c r="AL88" s="171"/>
      <c r="AM88" s="171"/>
      <c r="AN88" s="171"/>
      <c r="AO88" s="171"/>
      <c r="AP88" s="122"/>
      <c r="BG88" s="89"/>
    </row>
    <row r="89" spans="3:59" ht="13.5" thickBot="1">
      <c r="K89" s="102"/>
      <c r="O89" s="17"/>
      <c r="P89" s="17"/>
      <c r="Q89" s="916"/>
      <c r="R89" s="917"/>
      <c r="S89" s="917"/>
      <c r="T89" s="917"/>
      <c r="U89" s="917"/>
      <c r="V89" s="918"/>
      <c r="W89" s="17"/>
      <c r="X89" s="17"/>
      <c r="Y89" s="17"/>
      <c r="Z89" s="17"/>
      <c r="AI89" s="171"/>
      <c r="AJ89" s="171"/>
      <c r="AK89" s="171"/>
      <c r="AL89" s="171"/>
      <c r="AM89" s="171"/>
      <c r="AN89" s="171"/>
      <c r="AO89" s="171"/>
      <c r="AP89" s="122"/>
      <c r="AS89" s="885" t="str">
        <f>"Is the measured IOUT data within the +/- Limit lines?"</f>
        <v>Is the measured IOUT data within the +/- Limit lines?</v>
      </c>
      <c r="AT89" s="885"/>
      <c r="AU89" s="885"/>
      <c r="AV89" s="885"/>
      <c r="AW89" s="885"/>
      <c r="AX89" s="885"/>
      <c r="AY89" s="885"/>
      <c r="AZ89" s="153" t="s">
        <v>51</v>
      </c>
      <c r="BG89" s="89"/>
    </row>
    <row r="90" spans="3:59" ht="12" customHeight="1">
      <c r="K90" s="102"/>
      <c r="Z90" s="13"/>
      <c r="BG90" s="89"/>
    </row>
    <row r="91" spans="3:59">
      <c r="K91" s="102"/>
      <c r="L91" s="102"/>
      <c r="M91" s="89"/>
      <c r="N91" s="89"/>
      <c r="O91" s="89"/>
      <c r="P91" s="89"/>
      <c r="Q91" s="89"/>
      <c r="R91" s="89"/>
      <c r="S91" s="89"/>
      <c r="T91" s="95"/>
      <c r="U91" s="89"/>
      <c r="V91" s="89"/>
      <c r="W91" s="89"/>
      <c r="X91" s="89"/>
      <c r="Y91" s="89"/>
      <c r="Z91" s="95"/>
      <c r="AA91" s="89"/>
      <c r="AB91" s="89"/>
      <c r="AC91" s="89"/>
      <c r="AD91" s="89"/>
      <c r="AE91" s="89"/>
      <c r="AF91" s="89"/>
      <c r="AG91" s="89"/>
      <c r="AH91" s="89"/>
      <c r="AI91" s="89"/>
      <c r="AJ91" s="93"/>
      <c r="AK91" s="95"/>
      <c r="AL91" s="89"/>
      <c r="AM91" s="89"/>
      <c r="AN91" s="89"/>
      <c r="AO91" s="89"/>
      <c r="AP91" s="89"/>
      <c r="AQ91" s="89"/>
      <c r="AR91" s="89"/>
      <c r="AS91" s="89"/>
      <c r="AT91" s="89"/>
      <c r="AU91" s="89"/>
      <c r="AV91" s="89"/>
      <c r="AW91" s="89"/>
      <c r="AX91" s="89"/>
      <c r="AY91" s="89"/>
      <c r="AZ91" s="89"/>
      <c r="BA91" s="89"/>
      <c r="BB91" s="89"/>
      <c r="BC91" s="89"/>
      <c r="BD91" s="89"/>
      <c r="BE91" s="89"/>
      <c r="BF91" s="89"/>
      <c r="BG91" s="89"/>
    </row>
    <row r="92" spans="3:59">
      <c r="Z92" s="13"/>
    </row>
    <row r="93" spans="3:59">
      <c r="Z93" s="13"/>
    </row>
    <row r="94" spans="3:59">
      <c r="C94" s="188"/>
      <c r="D94" s="187"/>
      <c r="E94" s="187"/>
      <c r="F94" s="187"/>
      <c r="G94" s="187"/>
      <c r="K94" s="508"/>
      <c r="L94" s="99"/>
      <c r="M94" s="99"/>
      <c r="N94" s="99"/>
      <c r="O94" s="99"/>
      <c r="P94" s="99"/>
      <c r="Q94" s="99"/>
      <c r="R94" s="99"/>
      <c r="S94" s="99"/>
      <c r="T94" s="90"/>
      <c r="U94" s="99"/>
      <c r="V94" s="99"/>
      <c r="W94" s="99"/>
      <c r="X94" s="99"/>
      <c r="Y94" s="99"/>
      <c r="Z94" s="89"/>
      <c r="AA94" s="89"/>
      <c r="AB94" s="89"/>
      <c r="AC94" s="89"/>
      <c r="AD94" s="89"/>
      <c r="AE94" s="89"/>
      <c r="AF94" s="89"/>
      <c r="AG94" s="89"/>
      <c r="AH94" s="89"/>
      <c r="AI94" s="89"/>
      <c r="AJ94" s="93"/>
      <c r="AK94" s="95"/>
      <c r="AL94" s="89"/>
      <c r="AM94" s="89"/>
      <c r="AN94" s="89"/>
      <c r="AO94" s="89"/>
      <c r="AP94" s="89"/>
      <c r="AQ94" s="89"/>
      <c r="AR94" s="89"/>
      <c r="AS94" s="89"/>
    </row>
    <row r="95" spans="3:59" ht="13.5" thickBot="1">
      <c r="C95" s="188"/>
      <c r="D95" s="187"/>
      <c r="E95" s="187"/>
      <c r="F95" s="187"/>
      <c r="G95" s="187"/>
      <c r="K95" s="508"/>
      <c r="L95" s="19"/>
      <c r="M95" s="19"/>
      <c r="N95" s="19"/>
      <c r="O95" s="19"/>
      <c r="P95" s="19"/>
      <c r="Q95" s="19"/>
      <c r="R95" s="19"/>
      <c r="S95" s="19"/>
      <c r="T95" s="20"/>
      <c r="U95" s="19"/>
      <c r="V95" s="19"/>
      <c r="W95" s="19"/>
      <c r="X95" s="19"/>
      <c r="Y95" s="19"/>
      <c r="AS95" s="89"/>
    </row>
    <row r="96" spans="3:59" ht="30" customHeight="1">
      <c r="K96" s="102"/>
      <c r="M96" s="876" t="s">
        <v>63</v>
      </c>
      <c r="N96" s="877"/>
      <c r="O96" s="877"/>
      <c r="P96" s="877"/>
      <c r="Q96" s="877"/>
      <c r="R96" s="877"/>
      <c r="S96" s="877"/>
      <c r="T96" s="878"/>
      <c r="U96" s="34"/>
      <c r="V96" s="34"/>
      <c r="W96" s="34"/>
      <c r="X96" s="34"/>
      <c r="Y96" s="34"/>
      <c r="Z96" s="34"/>
      <c r="AS96" s="89"/>
    </row>
    <row r="97" spans="3:45" ht="13.5" thickBot="1">
      <c r="K97" s="102"/>
      <c r="M97" s="863" t="str">
        <f>"VID set to "&amp;VID_3&amp;"V"</f>
        <v>VID set to 0.3V</v>
      </c>
      <c r="N97" s="864"/>
      <c r="O97" s="860" t="s">
        <v>99</v>
      </c>
      <c r="P97" s="862"/>
      <c r="Q97" s="175"/>
      <c r="R97" s="175"/>
      <c r="S97" s="175"/>
      <c r="T97" s="369"/>
      <c r="U97" s="35"/>
      <c r="V97" s="35"/>
      <c r="W97" s="35"/>
      <c r="X97" s="35"/>
      <c r="Y97" s="35"/>
      <c r="Z97" s="35"/>
      <c r="AS97" s="89"/>
    </row>
    <row r="98" spans="3:45" ht="45" customHeight="1">
      <c r="C98" s="188"/>
      <c r="D98" s="187"/>
      <c r="E98" s="187" t="s">
        <v>97</v>
      </c>
      <c r="F98" s="187" t="s">
        <v>118</v>
      </c>
      <c r="G98" s="187"/>
      <c r="K98" s="102"/>
      <c r="M98" s="174" t="s">
        <v>48</v>
      </c>
      <c r="N98" s="106" t="s">
        <v>43</v>
      </c>
      <c r="O98" s="106" t="s">
        <v>46</v>
      </c>
      <c r="P98" s="287" t="s">
        <v>156</v>
      </c>
      <c r="Q98" s="287" t="s">
        <v>155</v>
      </c>
      <c r="R98" s="106" t="s">
        <v>44</v>
      </c>
      <c r="S98" s="106" t="s">
        <v>45</v>
      </c>
      <c r="T98" s="366" t="s">
        <v>292</v>
      </c>
      <c r="U98" s="107" t="s">
        <v>23</v>
      </c>
      <c r="V98" s="108" t="s">
        <v>47</v>
      </c>
      <c r="AC98" s="65"/>
      <c r="AJ98"/>
      <c r="AK98" s="898" t="s">
        <v>192</v>
      </c>
      <c r="AL98" s="899"/>
      <c r="AM98" s="900"/>
      <c r="AO98" s="881" t="s">
        <v>193</v>
      </c>
      <c r="AP98" s="882"/>
      <c r="AQ98" s="883"/>
      <c r="AS98" s="89"/>
    </row>
    <row r="99" spans="3:45">
      <c r="C99" s="191"/>
      <c r="D99" s="191"/>
      <c r="E99" s="191">
        <f>VID_3-(M99*ABS(R_DC_LL*0.001))</f>
        <v>0.3</v>
      </c>
      <c r="F99" s="191"/>
      <c r="G99" s="191"/>
      <c r="K99" s="100"/>
      <c r="L99" s="49"/>
      <c r="M99" s="173">
        <v>0</v>
      </c>
      <c r="N99" s="277">
        <v>0.30070000000000002</v>
      </c>
      <c r="O99" s="278">
        <v>13.2</v>
      </c>
      <c r="P99" s="279">
        <v>6.1760000000000002</v>
      </c>
      <c r="Q99" s="279">
        <v>6.8239999999999998</v>
      </c>
      <c r="R99" s="395"/>
      <c r="S99" s="279"/>
      <c r="T99" s="395">
        <v>0</v>
      </c>
      <c r="U99" s="67"/>
      <c r="V99" s="81" t="e">
        <f>(N99*M99)/(R99*S99)</f>
        <v>#DIV/0!</v>
      </c>
      <c r="AC99" s="65"/>
      <c r="AJ99"/>
      <c r="AK99" s="871" t="s">
        <v>30</v>
      </c>
      <c r="AL99" s="872"/>
      <c r="AM99" s="31">
        <f>N99</f>
        <v>0.30070000000000002</v>
      </c>
      <c r="AO99" s="873" t="s">
        <v>28</v>
      </c>
      <c r="AP99" s="874"/>
      <c r="AQ99" s="76">
        <f>VID_3-(R_DC_LL*0.001*M99)-(V_TOB_Imin*0.001)</f>
        <v>0.29499999999999998</v>
      </c>
      <c r="AS99" s="89"/>
    </row>
    <row r="100" spans="3:45">
      <c r="C100" s="191"/>
      <c r="D100" s="191"/>
      <c r="E100" s="510">
        <f>E99-(M100-M99)*ABS(R_DC_LL*0.001)</f>
        <v>0.2964</v>
      </c>
      <c r="F100" s="510"/>
      <c r="G100" s="510"/>
      <c r="K100" s="509"/>
      <c r="L100" s="45"/>
      <c r="M100" s="173">
        <f>IF(IccMax_PS3 &gt; 2, IccMax_PS3, 2)</f>
        <v>2</v>
      </c>
      <c r="N100" s="277">
        <v>0.29780000000000001</v>
      </c>
      <c r="O100" s="278">
        <v>12.4</v>
      </c>
      <c r="P100" s="279">
        <v>5.2240000000000002</v>
      </c>
      <c r="Q100" s="279">
        <v>7.1760000000000002</v>
      </c>
      <c r="R100" s="395"/>
      <c r="S100" s="279"/>
      <c r="T100" s="395">
        <v>8</v>
      </c>
      <c r="U100" s="75">
        <f>($N$99-N100)/(M100-$M$99)*1000</f>
        <v>1.4500000000000068</v>
      </c>
      <c r="V100" s="81" t="e">
        <f>(N100*M100)/(R100*S100)</f>
        <v>#DIV/0!</v>
      </c>
      <c r="AC100" s="65"/>
      <c r="AJ100"/>
      <c r="AK100" s="29"/>
      <c r="AL100" s="17"/>
      <c r="AM100" s="32"/>
      <c r="AO100" s="873" t="s">
        <v>29</v>
      </c>
      <c r="AP100" s="874"/>
      <c r="AQ100" s="76">
        <f>VID_3-(R_DC_LL*0.001*M99)+(V_TOB_Imin*0.001)+0.01</f>
        <v>0.315</v>
      </c>
      <c r="AS100" s="89"/>
    </row>
    <row r="101" spans="3:45">
      <c r="C101" s="510"/>
      <c r="D101" s="510"/>
      <c r="E101" s="510"/>
      <c r="F101" s="510"/>
      <c r="G101" s="510"/>
      <c r="K101" s="509"/>
      <c r="L101" s="45"/>
      <c r="M101" s="79"/>
      <c r="N101" s="297"/>
      <c r="O101" s="298"/>
      <c r="P101" s="298"/>
      <c r="Q101" s="298"/>
      <c r="R101" s="298"/>
      <c r="S101" s="298"/>
      <c r="T101" s="299"/>
      <c r="AC101" s="65"/>
      <c r="AJ101"/>
      <c r="AK101" s="29"/>
      <c r="AL101" s="17"/>
      <c r="AM101" s="32"/>
      <c r="AO101" s="26"/>
      <c r="AP101" s="24"/>
      <c r="AQ101" s="27"/>
      <c r="AS101" s="89"/>
    </row>
    <row r="102" spans="3:45">
      <c r="C102" s="510"/>
      <c r="D102" s="510"/>
      <c r="E102" s="510"/>
      <c r="F102" s="510"/>
      <c r="G102" s="510"/>
      <c r="K102" s="509"/>
      <c r="L102" s="45"/>
      <c r="M102" s="79"/>
      <c r="N102" s="300"/>
      <c r="Q102" s="301"/>
      <c r="R102" s="301"/>
      <c r="S102" s="301"/>
      <c r="T102" s="302"/>
      <c r="AC102" s="65"/>
      <c r="AJ102"/>
      <c r="AK102" s="29"/>
      <c r="AL102" s="17"/>
      <c r="AM102" s="32"/>
      <c r="AO102" s="28"/>
      <c r="AP102" s="23"/>
      <c r="AQ102" s="27"/>
      <c r="AS102" s="89"/>
    </row>
    <row r="103" spans="3:45">
      <c r="C103" s="510"/>
      <c r="D103" s="510"/>
      <c r="E103" s="510"/>
      <c r="F103" s="510"/>
      <c r="G103" s="510"/>
      <c r="K103" s="509"/>
      <c r="L103" s="45"/>
      <c r="M103" s="79"/>
      <c r="N103" s="300"/>
      <c r="Q103" s="301"/>
      <c r="S103" s="301"/>
      <c r="T103" s="302"/>
      <c r="AC103" s="65"/>
      <c r="AJ103"/>
      <c r="AK103" s="871" t="s">
        <v>24</v>
      </c>
      <c r="AL103" s="872"/>
      <c r="AM103" s="149">
        <f>AVERAGE(U100:U104)</f>
        <v>1.4500000000000068</v>
      </c>
      <c r="AO103" s="873" t="s">
        <v>27</v>
      </c>
      <c r="AP103" s="874"/>
      <c r="AQ103" s="150">
        <f>R_DC_LL</f>
        <v>1.8</v>
      </c>
      <c r="AS103" s="89"/>
    </row>
    <row r="104" spans="3:45">
      <c r="C104" s="510"/>
      <c r="D104" s="510"/>
      <c r="E104" s="510"/>
      <c r="F104" s="510"/>
      <c r="G104" s="510"/>
      <c r="K104" s="509"/>
      <c r="L104" s="45"/>
      <c r="M104" s="29"/>
      <c r="N104" s="300"/>
      <c r="Q104" s="301"/>
      <c r="S104" s="301"/>
      <c r="T104" s="302"/>
      <c r="AC104" s="65"/>
      <c r="AJ104"/>
      <c r="AK104" s="871" t="s">
        <v>25</v>
      </c>
      <c r="AL104" s="872"/>
      <c r="AM104" s="149">
        <f>MAX(U100:U104)</f>
        <v>1.4500000000000068</v>
      </c>
      <c r="AO104" s="873"/>
      <c r="AP104" s="874"/>
      <c r="AQ104" s="150"/>
      <c r="AS104" s="89"/>
    </row>
    <row r="105" spans="3:45">
      <c r="C105" s="510"/>
      <c r="D105" s="510"/>
      <c r="E105" s="510"/>
      <c r="F105" s="510"/>
      <c r="G105" s="510"/>
      <c r="K105" s="509"/>
      <c r="L105" s="45"/>
      <c r="M105" s="78"/>
      <c r="N105" s="300"/>
      <c r="O105" s="301"/>
      <c r="P105" s="301"/>
      <c r="Q105" s="301"/>
      <c r="S105" s="301"/>
      <c r="T105" s="302"/>
      <c r="AC105" s="65"/>
      <c r="AJ105"/>
      <c r="AK105" s="873" t="s">
        <v>26</v>
      </c>
      <c r="AL105" s="874"/>
      <c r="AM105" s="149">
        <f>MIN(U100:U104)</f>
        <v>1.4500000000000068</v>
      </c>
      <c r="AO105" s="29"/>
      <c r="AP105" s="17"/>
      <c r="AQ105" s="30"/>
      <c r="AS105" s="89"/>
    </row>
    <row r="106" spans="3:45">
      <c r="C106" s="510"/>
      <c r="D106" s="510"/>
      <c r="E106" s="510"/>
      <c r="F106" s="510"/>
      <c r="G106" s="510"/>
      <c r="K106" s="509"/>
      <c r="L106" s="45"/>
      <c r="M106" s="78"/>
      <c r="N106" s="300"/>
      <c r="O106" s="301"/>
      <c r="P106" s="301"/>
      <c r="Q106" s="301"/>
      <c r="R106" s="301"/>
      <c r="S106" s="301"/>
      <c r="T106" s="302"/>
      <c r="AC106" s="65"/>
      <c r="AJ106"/>
      <c r="AK106" s="29"/>
      <c r="AL106" s="17"/>
      <c r="AM106" s="32"/>
      <c r="AO106" s="29"/>
      <c r="AP106" s="17"/>
      <c r="AQ106" s="30"/>
      <c r="AS106" s="89"/>
    </row>
    <row r="107" spans="3:45">
      <c r="C107" s="510"/>
      <c r="D107" s="510"/>
      <c r="E107" s="510"/>
      <c r="F107" s="510"/>
      <c r="G107" s="510"/>
      <c r="K107" s="509"/>
      <c r="L107" s="45"/>
      <c r="M107" s="78"/>
      <c r="N107" s="300"/>
      <c r="O107" s="301"/>
      <c r="P107" s="301"/>
      <c r="Q107" s="301"/>
      <c r="R107" s="301"/>
      <c r="S107" s="301"/>
      <c r="T107" s="302"/>
      <c r="AC107" s="65"/>
      <c r="AJ107"/>
      <c r="AK107" s="873" t="s">
        <v>157</v>
      </c>
      <c r="AL107" s="874"/>
      <c r="AM107" s="31">
        <f>MAX(O99:O100)</f>
        <v>13.2</v>
      </c>
      <c r="AO107" s="873" t="s">
        <v>31</v>
      </c>
      <c r="AP107" s="874"/>
      <c r="AQ107" s="25">
        <f>POS_Ripple_PS3+Neg_Ripple_PS3</f>
        <v>40</v>
      </c>
      <c r="AS107" s="89"/>
    </row>
    <row r="108" spans="3:45">
      <c r="C108" s="510"/>
      <c r="D108" s="510"/>
      <c r="E108" s="510"/>
      <c r="F108" s="510"/>
      <c r="G108" s="510"/>
      <c r="K108" s="509"/>
      <c r="L108" s="45"/>
      <c r="M108" s="78"/>
      <c r="N108" s="300"/>
      <c r="O108" s="301"/>
      <c r="P108" s="301"/>
      <c r="Q108" s="301"/>
      <c r="R108" s="301"/>
      <c r="S108" s="301"/>
      <c r="T108" s="302"/>
      <c r="AC108" s="65"/>
      <c r="AD108" s="17"/>
      <c r="AE108" s="17"/>
      <c r="AF108" s="17"/>
      <c r="AG108" s="17"/>
      <c r="AH108" s="17"/>
      <c r="AI108" s="17"/>
      <c r="AK108" s="26"/>
      <c r="AL108" s="17"/>
      <c r="AM108" s="30"/>
      <c r="AN108" s="17"/>
      <c r="AO108" s="29"/>
      <c r="AP108" s="17"/>
      <c r="AQ108" s="30"/>
      <c r="AS108" s="89"/>
    </row>
    <row r="109" spans="3:45" ht="13.5" thickBot="1">
      <c r="C109" s="191"/>
      <c r="D109" s="191"/>
      <c r="E109" s="191"/>
      <c r="F109" s="191"/>
      <c r="G109" s="191"/>
      <c r="K109" s="101"/>
      <c r="L109" s="50"/>
      <c r="M109" s="112"/>
      <c r="N109" s="303"/>
      <c r="O109" s="304"/>
      <c r="P109" s="304"/>
      <c r="Q109" s="304"/>
      <c r="R109" s="304"/>
      <c r="S109" s="304"/>
      <c r="T109" s="305"/>
      <c r="AC109" s="65"/>
      <c r="AD109" s="17"/>
      <c r="AE109" s="17"/>
      <c r="AF109" s="17"/>
      <c r="AG109" s="17"/>
      <c r="AH109" s="17"/>
      <c r="AK109" s="873" t="s">
        <v>158</v>
      </c>
      <c r="AL109" s="874"/>
      <c r="AM109" s="31">
        <f>MAX(P99:P100)</f>
        <v>6.1760000000000002</v>
      </c>
      <c r="AO109" s="873" t="s">
        <v>160</v>
      </c>
      <c r="AP109" s="874"/>
      <c r="AQ109" s="25">
        <f>Neg_Ripple_PS3</f>
        <v>10</v>
      </c>
      <c r="AS109" s="89"/>
    </row>
    <row r="110" spans="3:45" ht="15.75" thickBot="1">
      <c r="K110" s="102"/>
      <c r="M110" s="56"/>
      <c r="N110" s="109" t="s">
        <v>21</v>
      </c>
      <c r="O110" s="109" t="s">
        <v>21</v>
      </c>
      <c r="P110" s="109" t="s">
        <v>21</v>
      </c>
      <c r="Q110" s="109" t="s">
        <v>21</v>
      </c>
      <c r="R110" s="109" t="s">
        <v>21</v>
      </c>
      <c r="S110" s="109" t="s">
        <v>21</v>
      </c>
      <c r="T110" s="109" t="s">
        <v>21</v>
      </c>
      <c r="AC110" s="65"/>
      <c r="AK110" s="26"/>
      <c r="AL110" s="17"/>
      <c r="AM110" s="30"/>
      <c r="AO110" s="29"/>
      <c r="AP110" s="17"/>
      <c r="AQ110" s="30"/>
      <c r="AS110" s="89"/>
    </row>
    <row r="111" spans="3:45" ht="12.75" customHeight="1" thickBot="1">
      <c r="K111" s="102"/>
      <c r="M111" s="56"/>
      <c r="N111" s="894" t="s">
        <v>35</v>
      </c>
      <c r="O111" s="894"/>
      <c r="P111" s="58"/>
      <c r="Q111" s="53"/>
      <c r="R111" s="53"/>
      <c r="S111" s="53"/>
      <c r="T111" s="84"/>
      <c r="U111" s="53"/>
      <c r="V111" s="53"/>
      <c r="W111" s="53"/>
      <c r="X111" s="53"/>
      <c r="Y111" s="53"/>
      <c r="Z111" s="53"/>
      <c r="AC111" s="65"/>
      <c r="AK111" s="879" t="s">
        <v>159</v>
      </c>
      <c r="AL111" s="880"/>
      <c r="AM111" s="170">
        <f>MAX(Q99:Q100)</f>
        <v>7.1760000000000002</v>
      </c>
      <c r="AO111" s="879" t="s">
        <v>161</v>
      </c>
      <c r="AP111" s="880"/>
      <c r="AQ111" s="40">
        <f>POS_Ripple_PS3</f>
        <v>30</v>
      </c>
      <c r="AS111" s="89"/>
    </row>
    <row r="112" spans="3:45">
      <c r="K112" s="102"/>
      <c r="AS112" s="89"/>
    </row>
    <row r="113" spans="11:45">
      <c r="K113" s="102"/>
      <c r="AJ113" s="895" t="s">
        <v>56</v>
      </c>
      <c r="AK113" s="896"/>
      <c r="AL113" s="896"/>
      <c r="AM113" s="896"/>
      <c r="AN113" s="896"/>
      <c r="AO113" s="896"/>
      <c r="AP113" s="897"/>
      <c r="AQ113" s="153" t="s">
        <v>51</v>
      </c>
      <c r="AS113" s="89"/>
    </row>
    <row r="114" spans="11:45">
      <c r="K114" s="102"/>
      <c r="AJ114" s="895" t="s">
        <v>94</v>
      </c>
      <c r="AK114" s="896"/>
      <c r="AL114" s="896"/>
      <c r="AM114" s="896"/>
      <c r="AN114" s="896"/>
      <c r="AO114" s="896"/>
      <c r="AP114" s="897"/>
      <c r="AQ114" s="153" t="s">
        <v>51</v>
      </c>
      <c r="AS114" s="89"/>
    </row>
    <row r="115" spans="11:45">
      <c r="K115" s="102"/>
      <c r="AJ115" s="895" t="s">
        <v>59</v>
      </c>
      <c r="AK115" s="896"/>
      <c r="AL115" s="896"/>
      <c r="AM115" s="896"/>
      <c r="AN115" s="896"/>
      <c r="AO115" s="896"/>
      <c r="AP115" s="897"/>
      <c r="AQ115" s="153" t="s">
        <v>51</v>
      </c>
      <c r="AS115" s="89"/>
    </row>
    <row r="116" spans="11:45">
      <c r="K116" s="102"/>
      <c r="AS116" s="89"/>
    </row>
    <row r="117" spans="11:45">
      <c r="K117" s="102"/>
      <c r="Z117" s="13"/>
      <c r="AS117" s="89"/>
    </row>
    <row r="118" spans="11:45">
      <c r="K118" s="102"/>
      <c r="L118" s="102"/>
      <c r="M118" s="89"/>
      <c r="N118" s="89"/>
      <c r="O118" s="89"/>
      <c r="P118" s="89"/>
      <c r="Q118" s="89"/>
      <c r="R118" s="89"/>
      <c r="S118" s="89"/>
      <c r="T118" s="95"/>
      <c r="U118" s="89"/>
      <c r="V118" s="89"/>
      <c r="W118" s="89"/>
      <c r="X118" s="89"/>
      <c r="Y118" s="89"/>
      <c r="Z118" s="95"/>
      <c r="AA118" s="89"/>
      <c r="AB118" s="89"/>
      <c r="AC118" s="89"/>
      <c r="AD118" s="89"/>
      <c r="AE118" s="89"/>
      <c r="AF118" s="89"/>
      <c r="AG118" s="89"/>
      <c r="AH118" s="89"/>
      <c r="AI118" s="89"/>
      <c r="AJ118" s="93"/>
      <c r="AK118" s="95"/>
      <c r="AL118" s="89"/>
      <c r="AM118" s="89"/>
      <c r="AN118" s="89"/>
      <c r="AO118" s="89"/>
      <c r="AP118" s="89"/>
      <c r="AQ118" s="89"/>
      <c r="AR118" s="89"/>
      <c r="AS118" s="89"/>
    </row>
    <row r="119" spans="11:45">
      <c r="Z119" s="13"/>
    </row>
    <row r="120" spans="11:45">
      <c r="Z120" s="13"/>
    </row>
  </sheetData>
  <protectedRanges>
    <protectedRange sqref="N78:O79 N101:N109 O101 O105:O109" name="Range1"/>
    <protectedRange sqref="P78:P79 R106:R109 R101:R102 Q101:Q109 P101 P105:P109" name="Range1_1"/>
    <protectedRange sqref="C12:D22 C71:D80 C42:D52" name="Range1_2"/>
    <protectedRange sqref="N47:O52" name="Range1_3"/>
    <protectedRange sqref="P47:R52" name="Range1_1_1"/>
    <protectedRange sqref="N11:O22" name="Range1_3_1"/>
    <protectedRange sqref="P11:R22" name="Range1_1_1_1"/>
    <protectedRange sqref="N41:O46" name="Range1_3_2"/>
    <protectedRange sqref="P41:R46" name="Range1_1_1_2"/>
    <protectedRange sqref="N70:O74" name="Range1_3_3"/>
    <protectedRange sqref="T70:T74 P70:R74" name="Range1_1_1_3"/>
    <protectedRange sqref="S70:S74" name="Range1_1_3_1"/>
    <protectedRange sqref="N99:O100" name="Range1_3_4"/>
    <protectedRange sqref="T99:T100 P99:R100" name="Range1_1_1_4"/>
    <protectedRange sqref="S99:S100" name="Range1_1_3_2"/>
  </protectedRanges>
  <mergeCells count="98">
    <mergeCell ref="M2:Y3"/>
    <mergeCell ref="M26:T27"/>
    <mergeCell ref="AO80:AP80"/>
    <mergeCell ref="AK82:AL82"/>
    <mergeCell ref="AO82:AP82"/>
    <mergeCell ref="AI22:AJ23"/>
    <mergeCell ref="AK22:AK23"/>
    <mergeCell ref="AI29:AO29"/>
    <mergeCell ref="AM12:AN12"/>
    <mergeCell ref="M8:T8"/>
    <mergeCell ref="AM41:AN41"/>
    <mergeCell ref="M67:V67"/>
    <mergeCell ref="AI53:AO53"/>
    <mergeCell ref="AM16:AN16"/>
    <mergeCell ref="AI40:AK40"/>
    <mergeCell ref="AM40:AO40"/>
    <mergeCell ref="AR59:AX59"/>
    <mergeCell ref="AS89:AY89"/>
    <mergeCell ref="M9:N9"/>
    <mergeCell ref="O9:P9"/>
    <mergeCell ref="AM17:AN17"/>
    <mergeCell ref="AI12:AJ12"/>
    <mergeCell ref="AI16:AJ16"/>
    <mergeCell ref="AO22:AO23"/>
    <mergeCell ref="AI41:AJ41"/>
    <mergeCell ref="Q83:V89"/>
    <mergeCell ref="AI20:AJ20"/>
    <mergeCell ref="AK74:AL74"/>
    <mergeCell ref="AO74:AP74"/>
    <mergeCell ref="AI51:AO51"/>
    <mergeCell ref="AK70:AL70"/>
    <mergeCell ref="AM13:AN13"/>
    <mergeCell ref="AM42:AN42"/>
    <mergeCell ref="AO70:AP70"/>
    <mergeCell ref="AI18:AJ18"/>
    <mergeCell ref="AI30:AO30"/>
    <mergeCell ref="AM22:AN23"/>
    <mergeCell ref="AI28:AO28"/>
    <mergeCell ref="AK69:AM69"/>
    <mergeCell ref="AM46:AN46"/>
    <mergeCell ref="AI54:AO54"/>
    <mergeCell ref="AM49:AN49"/>
    <mergeCell ref="AM45:AN45"/>
    <mergeCell ref="AI45:AJ45"/>
    <mergeCell ref="AI46:AJ46"/>
    <mergeCell ref="AO71:AP71"/>
    <mergeCell ref="AI47:AJ47"/>
    <mergeCell ref="AK75:AL75"/>
    <mergeCell ref="O68:P68"/>
    <mergeCell ref="AJ115:AP115"/>
    <mergeCell ref="AK99:AL99"/>
    <mergeCell ref="AO99:AP99"/>
    <mergeCell ref="AK111:AL111"/>
    <mergeCell ref="AJ114:AP114"/>
    <mergeCell ref="AO107:AP107"/>
    <mergeCell ref="AK109:AL109"/>
    <mergeCell ref="AK80:AL80"/>
    <mergeCell ref="N111:O111"/>
    <mergeCell ref="AJ113:AP113"/>
    <mergeCell ref="AO75:AP75"/>
    <mergeCell ref="AO78:AP78"/>
    <mergeCell ref="AO111:AP111"/>
    <mergeCell ref="AK105:AL105"/>
    <mergeCell ref="AK107:AL107"/>
    <mergeCell ref="AO103:AP103"/>
    <mergeCell ref="AO98:AQ98"/>
    <mergeCell ref="AK98:AM98"/>
    <mergeCell ref="AO109:AP109"/>
    <mergeCell ref="N76:O76"/>
    <mergeCell ref="AJ86:AP86"/>
    <mergeCell ref="AJ84:AP84"/>
    <mergeCell ref="AJ87:AP87"/>
    <mergeCell ref="AO100:AP100"/>
    <mergeCell ref="AR31:AX31"/>
    <mergeCell ref="AM10:AO11"/>
    <mergeCell ref="M39:N39"/>
    <mergeCell ref="M38:T38"/>
    <mergeCell ref="AM20:AN20"/>
    <mergeCell ref="N24:O24"/>
    <mergeCell ref="AI31:AO31"/>
    <mergeCell ref="AI17:AJ17"/>
    <mergeCell ref="O39:P39"/>
    <mergeCell ref="Q68:S68"/>
    <mergeCell ref="M68:N68"/>
    <mergeCell ref="AI10:AK11"/>
    <mergeCell ref="AK104:AL104"/>
    <mergeCell ref="AO104:AP104"/>
    <mergeCell ref="M29:T31"/>
    <mergeCell ref="M97:N97"/>
    <mergeCell ref="M96:T96"/>
    <mergeCell ref="AK103:AL103"/>
    <mergeCell ref="AI49:AJ49"/>
    <mergeCell ref="AO69:AQ69"/>
    <mergeCell ref="AK78:AL78"/>
    <mergeCell ref="AK76:AL76"/>
    <mergeCell ref="O97:P97"/>
    <mergeCell ref="AJ85:AP85"/>
    <mergeCell ref="AI52:AO52"/>
  </mergeCells>
  <phoneticPr fontId="8" type="noConversion"/>
  <conditionalFormatting sqref="AP28:AP31 AP51:AP60 AP88:AP89 AQ84:AQ87 AQ113:AQ115">
    <cfRule type="cellIs" dxfId="110" priority="11" stopIfTrue="1" operator="equal">
      <formula>"No"</formula>
    </cfRule>
    <cfRule type="cellIs" dxfId="109" priority="12" stopIfTrue="1" operator="equal">
      <formula>"Yes"</formula>
    </cfRule>
  </conditionalFormatting>
  <conditionalFormatting sqref="M12:M22">
    <cfRule type="cellIs" dxfId="108" priority="9" stopIfTrue="1" operator="greaterThan">
      <formula>I_TDC</formula>
    </cfRule>
  </conditionalFormatting>
  <conditionalFormatting sqref="AY31">
    <cfRule type="cellIs" dxfId="107" priority="7" stopIfTrue="1" operator="equal">
      <formula>"No"</formula>
    </cfRule>
    <cfRule type="cellIs" dxfId="106" priority="8" stopIfTrue="1" operator="equal">
      <formula>"Yes"</formula>
    </cfRule>
  </conditionalFormatting>
  <conditionalFormatting sqref="AY59">
    <cfRule type="cellIs" dxfId="105" priority="5" stopIfTrue="1" operator="equal">
      <formula>"No"</formula>
    </cfRule>
    <cfRule type="cellIs" dxfId="104" priority="6" stopIfTrue="1" operator="equal">
      <formula>"Yes"</formula>
    </cfRule>
  </conditionalFormatting>
  <conditionalFormatting sqref="AZ89">
    <cfRule type="cellIs" dxfId="103" priority="3" stopIfTrue="1" operator="equal">
      <formula>"No"</formula>
    </cfRule>
    <cfRule type="cellIs" dxfId="102" priority="4" stopIfTrue="1" operator="equal">
      <formula>"Yes"</formula>
    </cfRule>
  </conditionalFormatting>
  <dataValidations count="1">
    <dataValidation type="list" allowBlank="1" showInputMessage="1" showErrorMessage="1" sqref="AQ84:AQ87 AY31 AP88:AP89 AP51:AP60 AP28:AP31 AQ113:AQ115 AY59 AZ89">
      <formula1>$Z$1:$Z$3</formula1>
    </dataValidation>
  </dataValidation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1">
    <tabColor rgb="FF00B0F0"/>
  </sheetPr>
  <dimension ref="A1:AV253"/>
  <sheetViews>
    <sheetView zoomScale="55" zoomScaleNormal="55" workbookViewId="0">
      <selection activeCell="Q27" sqref="Q27"/>
    </sheetView>
  </sheetViews>
  <sheetFormatPr defaultRowHeight="12.75"/>
  <cols>
    <col min="2" max="2" width="2.140625" customWidth="1"/>
    <col min="3" max="3" width="4" customWidth="1"/>
    <col min="4" max="4" width="14" customWidth="1"/>
    <col min="5" max="5" width="4.85546875" customWidth="1"/>
    <col min="6" max="6" width="9.7109375" customWidth="1"/>
    <col min="7" max="7" width="13.7109375" customWidth="1"/>
    <col min="8" max="8" width="10.7109375" style="13" customWidth="1"/>
    <col min="9" max="9" width="13.7109375" customWidth="1"/>
    <col min="10" max="11" width="10.7109375" customWidth="1"/>
    <col min="12" max="12" width="13.7109375" customWidth="1"/>
    <col min="13" max="13" width="10.7109375" customWidth="1"/>
    <col min="14" max="14" width="13.7109375" customWidth="1"/>
    <col min="15" max="15" width="9.28515625" style="80" customWidth="1"/>
    <col min="16" max="16" width="10.7109375" customWidth="1"/>
    <col min="17" max="17" width="13.7109375" customWidth="1"/>
    <col min="18" max="18" width="10.7109375" customWidth="1"/>
    <col min="19" max="19" width="13.7109375" customWidth="1"/>
    <col min="20" max="20" width="7.7109375" customWidth="1"/>
    <col min="21" max="47" width="10.7109375" customWidth="1"/>
  </cols>
  <sheetData>
    <row r="1" spans="1:48" ht="12.75" customHeight="1">
      <c r="A1" s="814" t="s">
        <v>0</v>
      </c>
      <c r="B1" s="815"/>
      <c r="C1" s="815"/>
      <c r="D1" s="815"/>
      <c r="E1" s="815"/>
      <c r="F1" s="815"/>
      <c r="G1" s="815"/>
      <c r="H1" s="815"/>
      <c r="I1" s="815"/>
      <c r="J1" s="815"/>
      <c r="K1" s="815"/>
      <c r="L1" s="815"/>
      <c r="M1" s="815"/>
      <c r="N1" s="815"/>
      <c r="O1" s="815"/>
      <c r="P1" s="815"/>
      <c r="Q1" s="815"/>
      <c r="R1" s="815"/>
      <c r="S1" s="815"/>
      <c r="T1" s="815"/>
      <c r="U1" s="815"/>
      <c r="V1" s="815"/>
      <c r="W1" s="815"/>
      <c r="X1" s="36"/>
      <c r="Y1" s="36"/>
    </row>
    <row r="2" spans="1:48" ht="12.75" customHeight="1">
      <c r="A2" s="814"/>
      <c r="B2" s="815"/>
      <c r="C2" s="815"/>
      <c r="D2" s="815"/>
      <c r="E2" s="815"/>
      <c r="F2" s="815"/>
      <c r="G2" s="815"/>
      <c r="H2" s="815"/>
      <c r="I2" s="815"/>
      <c r="J2" s="815"/>
      <c r="K2" s="815"/>
      <c r="L2" s="815"/>
      <c r="M2" s="815"/>
      <c r="N2" s="815"/>
      <c r="O2" s="815"/>
      <c r="P2" s="815"/>
      <c r="Q2" s="815"/>
      <c r="R2" s="815"/>
      <c r="S2" s="815"/>
      <c r="T2" s="815"/>
      <c r="U2" s="815"/>
      <c r="V2" s="815"/>
      <c r="W2" s="815"/>
      <c r="X2" s="36"/>
      <c r="Y2" s="36"/>
    </row>
    <row r="3" spans="1:48" ht="18">
      <c r="A3" s="18"/>
      <c r="B3" s="18"/>
      <c r="C3" s="18"/>
      <c r="D3" s="18"/>
      <c r="E3" s="18"/>
      <c r="F3" s="18"/>
      <c r="G3" s="496"/>
      <c r="H3" s="18"/>
      <c r="I3" s="18"/>
      <c r="J3" s="18"/>
      <c r="K3" s="17"/>
      <c r="L3" s="17"/>
    </row>
    <row r="4" spans="1:48">
      <c r="A4" s="126"/>
      <c r="D4" s="20"/>
      <c r="E4" s="53"/>
      <c r="F4" s="53"/>
      <c r="G4" s="53"/>
      <c r="H4" s="84"/>
      <c r="I4" s="53"/>
      <c r="J4" s="53"/>
      <c r="K4" s="62"/>
      <c r="L4" s="62"/>
      <c r="O4" s="62"/>
      <c r="W4" s="62"/>
      <c r="X4" s="62"/>
      <c r="Y4" s="62"/>
    </row>
    <row r="5" spans="1:48">
      <c r="A5" s="126" t="s">
        <v>58</v>
      </c>
      <c r="B5" s="89"/>
      <c r="C5" s="89"/>
      <c r="D5" s="90"/>
      <c r="E5" s="91"/>
      <c r="F5" s="91"/>
      <c r="G5" s="91"/>
      <c r="H5" s="92"/>
      <c r="I5" s="91"/>
      <c r="J5" s="91"/>
      <c r="K5" s="93"/>
      <c r="L5" s="93"/>
      <c r="M5" s="94"/>
      <c r="N5" s="94"/>
      <c r="O5" s="93"/>
      <c r="P5" s="89"/>
      <c r="Q5" s="89"/>
      <c r="R5" s="89"/>
      <c r="S5" s="89"/>
      <c r="T5" s="89"/>
      <c r="U5" s="89"/>
      <c r="V5" s="89"/>
      <c r="W5" s="93"/>
      <c r="X5" s="93"/>
      <c r="Y5" s="93"/>
      <c r="Z5" s="89"/>
      <c r="AA5" s="89"/>
      <c r="AB5" s="89"/>
      <c r="AC5" s="89"/>
      <c r="AD5" s="89"/>
      <c r="AE5" s="89"/>
      <c r="AF5" s="89"/>
      <c r="AG5" s="89"/>
      <c r="AH5" s="89"/>
      <c r="AI5" s="89"/>
      <c r="AJ5" s="89"/>
      <c r="AK5" s="89"/>
      <c r="AL5" s="89"/>
      <c r="AM5" s="89"/>
      <c r="AN5" s="89"/>
      <c r="AO5" s="89"/>
      <c r="AP5" s="547"/>
      <c r="AQ5" s="89"/>
      <c r="AR5" s="547"/>
      <c r="AS5" s="547"/>
      <c r="AT5" s="547"/>
      <c r="AU5" s="547"/>
      <c r="AV5" s="547"/>
    </row>
    <row r="6" spans="1:48" ht="13.5" thickBot="1">
      <c r="A6" s="127" t="s">
        <v>51</v>
      </c>
      <c r="B6" s="89"/>
      <c r="O6"/>
      <c r="P6" s="80"/>
      <c r="AR6" s="80"/>
      <c r="AV6" s="547"/>
    </row>
    <row r="7" spans="1:48" ht="32.25" customHeight="1" thickBot="1">
      <c r="A7" s="128" t="s">
        <v>50</v>
      </c>
      <c r="B7" s="89"/>
      <c r="D7" s="955" t="s">
        <v>102</v>
      </c>
      <c r="E7" s="956"/>
      <c r="F7" s="956"/>
      <c r="G7" s="956"/>
      <c r="H7" s="956"/>
      <c r="I7" s="956"/>
      <c r="J7" s="535"/>
      <c r="K7" s="1031"/>
      <c r="L7" s="1031"/>
      <c r="M7" s="1031"/>
      <c r="N7" s="1031"/>
      <c r="O7" s="526"/>
      <c r="P7" s="956"/>
      <c r="Q7" s="956"/>
      <c r="R7" s="956"/>
      <c r="S7" s="956"/>
      <c r="T7" s="80"/>
      <c r="U7" s="965" t="s">
        <v>325</v>
      </c>
      <c r="V7" s="966"/>
      <c r="W7" s="966"/>
      <c r="X7" s="966"/>
      <c r="Y7" s="966"/>
      <c r="Z7" s="966"/>
      <c r="AA7" s="967"/>
      <c r="AD7" s="965" t="s">
        <v>93</v>
      </c>
      <c r="AE7" s="966"/>
      <c r="AF7" s="966"/>
      <c r="AG7" s="966"/>
      <c r="AH7" s="966"/>
      <c r="AI7" s="966"/>
      <c r="AJ7" s="967"/>
      <c r="AM7" s="965" t="s">
        <v>235</v>
      </c>
      <c r="AN7" s="966"/>
      <c r="AO7" s="966"/>
      <c r="AP7" s="966"/>
      <c r="AQ7" s="966"/>
      <c r="AR7" s="966"/>
      <c r="AS7" s="967"/>
      <c r="AV7" s="89"/>
    </row>
    <row r="8" spans="1:48" ht="12.75" customHeight="1">
      <c r="B8" s="89"/>
      <c r="D8" s="155" t="s">
        <v>13</v>
      </c>
      <c r="E8" s="224"/>
      <c r="F8" s="288" t="s">
        <v>164</v>
      </c>
      <c r="G8" s="238"/>
      <c r="H8" s="448" t="s">
        <v>10</v>
      </c>
      <c r="I8" s="461"/>
      <c r="J8" s="246"/>
      <c r="K8" s="288" t="s">
        <v>164</v>
      </c>
      <c r="L8" s="242"/>
      <c r="M8" s="456" t="s">
        <v>10</v>
      </c>
      <c r="N8" s="468"/>
      <c r="O8" s="141"/>
      <c r="P8" s="528" t="s">
        <v>164</v>
      </c>
      <c r="Q8" s="242"/>
      <c r="R8" s="448" t="s">
        <v>10</v>
      </c>
      <c r="S8" s="521"/>
      <c r="T8" s="30"/>
      <c r="U8" s="968"/>
      <c r="V8" s="969"/>
      <c r="W8" s="969"/>
      <c r="X8" s="969"/>
      <c r="Y8" s="969"/>
      <c r="Z8" s="969"/>
      <c r="AA8" s="970"/>
      <c r="AD8" s="968"/>
      <c r="AE8" s="969"/>
      <c r="AF8" s="969"/>
      <c r="AG8" s="969"/>
      <c r="AH8" s="969"/>
      <c r="AI8" s="969"/>
      <c r="AJ8" s="970"/>
      <c r="AM8" s="968"/>
      <c r="AN8" s="969"/>
      <c r="AO8" s="969"/>
      <c r="AP8" s="969"/>
      <c r="AQ8" s="969"/>
      <c r="AR8" s="969"/>
      <c r="AS8" s="970"/>
      <c r="AV8" s="89"/>
    </row>
    <row r="9" spans="1:48" ht="12.75" customHeight="1">
      <c r="B9" s="89"/>
      <c r="D9" s="159">
        <f>VID_1</f>
        <v>0.9</v>
      </c>
      <c r="E9" s="232"/>
      <c r="F9" s="239">
        <f>IF(IccMax&gt;=10, IccMax-I_Step_PS0_IccMAX, IF(IccMax&lt;10,2))</f>
        <v>12</v>
      </c>
      <c r="G9" s="17"/>
      <c r="H9" s="449">
        <f>IccMax</f>
        <v>70</v>
      </c>
      <c r="I9" s="462"/>
      <c r="J9" s="96"/>
      <c r="K9" s="243">
        <f>IF(IccMax_app-I_Step_PS0_IccMAX_App&gt;=2,IccMax_app-I_Step_PS0_IccMAX_App,2)</f>
        <v>12</v>
      </c>
      <c r="L9" s="234"/>
      <c r="M9" s="531">
        <f>IccMax_app</f>
        <v>59.5</v>
      </c>
      <c r="N9" s="469"/>
      <c r="O9" s="141"/>
      <c r="P9" s="539">
        <f>IF(IccMax-I_Step_PS0_IccMAX&gt;=2,IccMax-I_Step_PS0_IccMAX,2)</f>
        <v>12</v>
      </c>
      <c r="Q9" s="141"/>
      <c r="R9" s="539">
        <f>IccMax</f>
        <v>70</v>
      </c>
      <c r="S9" s="521"/>
      <c r="T9" s="30"/>
      <c r="U9" s="968"/>
      <c r="V9" s="969"/>
      <c r="W9" s="969"/>
      <c r="X9" s="969"/>
      <c r="Y9" s="969"/>
      <c r="Z9" s="969"/>
      <c r="AA9" s="970"/>
      <c r="AD9" s="968"/>
      <c r="AE9" s="969"/>
      <c r="AF9" s="969"/>
      <c r="AG9" s="969"/>
      <c r="AH9" s="969"/>
      <c r="AI9" s="969"/>
      <c r="AJ9" s="970"/>
      <c r="AM9" s="968"/>
      <c r="AN9" s="969"/>
      <c r="AO9" s="969"/>
      <c r="AP9" s="969"/>
      <c r="AQ9" s="969"/>
      <c r="AR9" s="969"/>
      <c r="AS9" s="970"/>
      <c r="AV9" s="89"/>
    </row>
    <row r="10" spans="1:48" ht="16.5" customHeight="1">
      <c r="B10" s="89"/>
      <c r="D10" s="294" t="s">
        <v>324</v>
      </c>
      <c r="E10" s="232"/>
      <c r="F10" s="240" t="s">
        <v>196</v>
      </c>
      <c r="G10" s="453" t="s">
        <v>395</v>
      </c>
      <c r="H10" s="450" t="s">
        <v>195</v>
      </c>
      <c r="I10" s="463" t="s">
        <v>396</v>
      </c>
      <c r="J10" s="96"/>
      <c r="K10" s="459" t="s">
        <v>196</v>
      </c>
      <c r="L10" s="450" t="s">
        <v>395</v>
      </c>
      <c r="M10" s="458" t="s">
        <v>195</v>
      </c>
      <c r="N10" s="241" t="s">
        <v>396</v>
      </c>
      <c r="O10" s="522"/>
      <c r="P10" s="529" t="s">
        <v>196</v>
      </c>
      <c r="Q10" s="530" t="s">
        <v>395</v>
      </c>
      <c r="R10" s="529" t="s">
        <v>195</v>
      </c>
      <c r="S10" s="532" t="s">
        <v>396</v>
      </c>
      <c r="T10" s="30"/>
      <c r="U10" s="968"/>
      <c r="V10" s="969"/>
      <c r="W10" s="969"/>
      <c r="X10" s="969"/>
      <c r="Y10" s="969"/>
      <c r="Z10" s="969"/>
      <c r="AA10" s="970"/>
      <c r="AD10" s="968"/>
      <c r="AE10" s="969"/>
      <c r="AF10" s="969"/>
      <c r="AG10" s="969"/>
      <c r="AH10" s="969"/>
      <c r="AI10" s="969"/>
      <c r="AJ10" s="970"/>
      <c r="AM10" s="968"/>
      <c r="AN10" s="969"/>
      <c r="AO10" s="969"/>
      <c r="AP10" s="969"/>
      <c r="AQ10" s="969"/>
      <c r="AR10" s="969"/>
      <c r="AS10" s="970"/>
      <c r="AV10" s="89"/>
    </row>
    <row r="11" spans="1:48" ht="12.75" customHeight="1">
      <c r="B11" s="89"/>
      <c r="D11" s="293">
        <f>dt</f>
        <v>65</v>
      </c>
      <c r="E11" s="232"/>
      <c r="F11" s="451">
        <v>0</v>
      </c>
      <c r="G11" s="471">
        <v>0.5</v>
      </c>
      <c r="H11" s="452">
        <v>0</v>
      </c>
      <c r="I11" s="464" t="s">
        <v>165</v>
      </c>
      <c r="J11" s="467"/>
      <c r="K11" s="451">
        <v>0</v>
      </c>
      <c r="L11" s="454" t="s">
        <v>166</v>
      </c>
      <c r="M11" s="452">
        <v>0</v>
      </c>
      <c r="N11" s="470" t="s">
        <v>165</v>
      </c>
      <c r="O11" s="522"/>
      <c r="P11" s="534">
        <v>0</v>
      </c>
      <c r="Q11" s="531" t="s">
        <v>411</v>
      </c>
      <c r="R11" s="534">
        <v>0</v>
      </c>
      <c r="S11" s="533" t="s">
        <v>412</v>
      </c>
      <c r="T11" s="30"/>
      <c r="U11" s="968"/>
      <c r="V11" s="969"/>
      <c r="W11" s="969"/>
      <c r="X11" s="969"/>
      <c r="Y11" s="969"/>
      <c r="Z11" s="969"/>
      <c r="AA11" s="970"/>
      <c r="AD11" s="968"/>
      <c r="AE11" s="969"/>
      <c r="AF11" s="969"/>
      <c r="AG11" s="969"/>
      <c r="AH11" s="969"/>
      <c r="AI11" s="969"/>
      <c r="AJ11" s="970"/>
      <c r="AM11" s="968"/>
      <c r="AN11" s="969"/>
      <c r="AO11" s="969"/>
      <c r="AP11" s="969"/>
      <c r="AQ11" s="969"/>
      <c r="AR11" s="969"/>
      <c r="AS11" s="970"/>
      <c r="AV11" s="89"/>
    </row>
    <row r="12" spans="1:48" ht="17.25" customHeight="1">
      <c r="B12" s="89"/>
      <c r="D12" s="161" t="s">
        <v>38</v>
      </c>
      <c r="E12" s="235"/>
      <c r="F12" s="244"/>
      <c r="G12" s="17"/>
      <c r="H12" s="24"/>
      <c r="I12" s="465"/>
      <c r="J12" s="467"/>
      <c r="K12" s="245"/>
      <c r="L12" s="160"/>
      <c r="M12" s="398"/>
      <c r="N12" s="30"/>
      <c r="O12" s="62"/>
      <c r="P12" s="503"/>
      <c r="Q12" s="62"/>
      <c r="R12" s="62"/>
      <c r="S12" s="502"/>
      <c r="T12" s="30"/>
      <c r="U12" s="968"/>
      <c r="V12" s="969"/>
      <c r="W12" s="969"/>
      <c r="X12" s="969"/>
      <c r="Y12" s="969"/>
      <c r="Z12" s="969"/>
      <c r="AA12" s="970"/>
      <c r="AD12" s="968"/>
      <c r="AE12" s="969"/>
      <c r="AF12" s="969"/>
      <c r="AG12" s="969"/>
      <c r="AH12" s="969"/>
      <c r="AI12" s="969"/>
      <c r="AJ12" s="970"/>
      <c r="AM12" s="968"/>
      <c r="AN12" s="969"/>
      <c r="AO12" s="969"/>
      <c r="AP12" s="969"/>
      <c r="AQ12" s="969"/>
      <c r="AR12" s="969"/>
      <c r="AS12" s="970"/>
      <c r="AV12" s="89"/>
    </row>
    <row r="13" spans="1:48" ht="17.25" customHeight="1">
      <c r="B13" s="89"/>
      <c r="D13" s="255">
        <f>Duty_Cycle</f>
        <v>0.39102099927588702</v>
      </c>
      <c r="E13" s="162"/>
      <c r="F13" s="280" t="s">
        <v>90</v>
      </c>
      <c r="G13" s="17"/>
      <c r="H13" s="24"/>
      <c r="I13" s="30"/>
      <c r="K13" s="281" t="s">
        <v>91</v>
      </c>
      <c r="L13" s="17"/>
      <c r="M13" s="446"/>
      <c r="N13" s="30"/>
      <c r="O13" s="62"/>
      <c r="P13" s="538" t="s">
        <v>91</v>
      </c>
      <c r="Q13" s="62"/>
      <c r="R13" s="62"/>
      <c r="S13" s="502"/>
      <c r="T13" s="30"/>
      <c r="U13" s="968"/>
      <c r="V13" s="969"/>
      <c r="W13" s="969"/>
      <c r="X13" s="969"/>
      <c r="Y13" s="969"/>
      <c r="Z13" s="969"/>
      <c r="AA13" s="970"/>
      <c r="AD13" s="968"/>
      <c r="AE13" s="969"/>
      <c r="AF13" s="969"/>
      <c r="AG13" s="969"/>
      <c r="AH13" s="969"/>
      <c r="AI13" s="969"/>
      <c r="AJ13" s="970"/>
      <c r="AM13" s="968"/>
      <c r="AN13" s="969"/>
      <c r="AO13" s="969"/>
      <c r="AP13" s="969"/>
      <c r="AQ13" s="969"/>
      <c r="AR13" s="969"/>
      <c r="AS13" s="970"/>
      <c r="AV13" s="89"/>
    </row>
    <row r="14" spans="1:48" ht="21" customHeight="1">
      <c r="B14" s="89"/>
      <c r="D14" s="254" t="s">
        <v>134</v>
      </c>
      <c r="E14" s="236"/>
      <c r="F14" s="282">
        <v>0.87212400000000001</v>
      </c>
      <c r="G14" s="17"/>
      <c r="H14" s="24"/>
      <c r="I14" s="30"/>
      <c r="K14" s="282">
        <v>0.80725199999999997</v>
      </c>
      <c r="L14" s="17"/>
      <c r="M14" s="447"/>
      <c r="N14" s="30"/>
      <c r="O14" s="62"/>
      <c r="P14" s="537">
        <v>0.78805199999999997</v>
      </c>
      <c r="Q14" s="62"/>
      <c r="R14" s="62"/>
      <c r="S14" s="502"/>
      <c r="T14" s="248"/>
      <c r="U14" s="968"/>
      <c r="V14" s="969"/>
      <c r="W14" s="969"/>
      <c r="X14" s="969"/>
      <c r="Y14" s="969"/>
      <c r="Z14" s="969"/>
      <c r="AA14" s="970"/>
      <c r="AD14" s="968"/>
      <c r="AE14" s="969"/>
      <c r="AF14" s="969"/>
      <c r="AG14" s="969"/>
      <c r="AH14" s="969"/>
      <c r="AI14" s="969"/>
      <c r="AJ14" s="970"/>
      <c r="AM14" s="968"/>
      <c r="AN14" s="969"/>
      <c r="AO14" s="969"/>
      <c r="AP14" s="969"/>
      <c r="AQ14" s="969"/>
      <c r="AR14" s="969"/>
      <c r="AS14" s="970"/>
      <c r="AV14" s="89"/>
    </row>
    <row r="15" spans="1:48" ht="25.5" customHeight="1">
      <c r="B15" s="89"/>
      <c r="D15" s="255" t="s">
        <v>135</v>
      </c>
      <c r="E15" s="236"/>
      <c r="F15" s="957" t="s">
        <v>92</v>
      </c>
      <c r="G15" s="17"/>
      <c r="H15" s="934" t="str">
        <f>"Duration of Undershoot below "&amp;D17&amp;"V at 300Hz"</f>
        <v>Duration of Undershoot below 0.755V at 300Hz</v>
      </c>
      <c r="I15" s="30"/>
      <c r="K15" s="957" t="s">
        <v>425</v>
      </c>
      <c r="L15" s="17"/>
      <c r="M15" s="928" t="s">
        <v>426</v>
      </c>
      <c r="N15" s="651"/>
      <c r="O15" s="62"/>
      <c r="P15" s="1026"/>
      <c r="Q15" s="62"/>
      <c r="R15" s="1029" t="s">
        <v>430</v>
      </c>
      <c r="S15" s="655"/>
      <c r="T15" s="248"/>
      <c r="U15" s="968"/>
      <c r="V15" s="969"/>
      <c r="W15" s="969"/>
      <c r="X15" s="969"/>
      <c r="Y15" s="969"/>
      <c r="Z15" s="969"/>
      <c r="AA15" s="970"/>
      <c r="AD15" s="968"/>
      <c r="AE15" s="969"/>
      <c r="AF15" s="969"/>
      <c r="AG15" s="969"/>
      <c r="AH15" s="969"/>
      <c r="AI15" s="969"/>
      <c r="AJ15" s="970"/>
      <c r="AM15" s="968"/>
      <c r="AN15" s="969"/>
      <c r="AO15" s="969"/>
      <c r="AP15" s="969"/>
      <c r="AQ15" s="969"/>
      <c r="AR15" s="969"/>
      <c r="AS15" s="970"/>
      <c r="AV15" s="89"/>
    </row>
    <row r="16" spans="1:48" ht="30" customHeight="1">
      <c r="B16" s="89"/>
      <c r="D16" s="254" t="s">
        <v>340</v>
      </c>
      <c r="E16" s="158"/>
      <c r="F16" s="957"/>
      <c r="G16" s="17"/>
      <c r="H16" s="935"/>
      <c r="I16" s="30"/>
      <c r="K16" s="957"/>
      <c r="L16" s="17"/>
      <c r="M16" s="929"/>
      <c r="N16" s="651"/>
      <c r="O16" s="62"/>
      <c r="P16" s="1027"/>
      <c r="Q16" s="62"/>
      <c r="R16" s="1030"/>
      <c r="S16" s="653"/>
      <c r="T16" s="248"/>
      <c r="U16" s="968"/>
      <c r="V16" s="969"/>
      <c r="W16" s="969"/>
      <c r="X16" s="969"/>
      <c r="Y16" s="969"/>
      <c r="Z16" s="969"/>
      <c r="AA16" s="970"/>
      <c r="AD16" s="968"/>
      <c r="AE16" s="969"/>
      <c r="AF16" s="969"/>
      <c r="AG16" s="969"/>
      <c r="AH16" s="969"/>
      <c r="AI16" s="969"/>
      <c r="AJ16" s="970"/>
      <c r="AM16" s="968"/>
      <c r="AN16" s="969"/>
      <c r="AO16" s="969"/>
      <c r="AP16" s="969"/>
      <c r="AQ16" s="969"/>
      <c r="AR16" s="969"/>
      <c r="AS16" s="970"/>
      <c r="AV16" s="89"/>
    </row>
    <row r="17" spans="2:48" ht="20.25" customHeight="1">
      <c r="B17" s="89"/>
      <c r="D17" s="427">
        <f>ROUND(F14-(H9-F9)*R_LL_MAX*0.001,3)</f>
        <v>0.755</v>
      </c>
      <c r="E17" s="164"/>
      <c r="F17" s="957"/>
      <c r="G17" s="17"/>
      <c r="H17" s="936"/>
      <c r="I17" s="30"/>
      <c r="K17" s="957"/>
      <c r="L17" s="17"/>
      <c r="M17" s="930"/>
      <c r="N17" s="651"/>
      <c r="O17" s="62"/>
      <c r="P17" s="1028"/>
      <c r="Q17" s="62"/>
      <c r="R17" s="1030"/>
      <c r="S17" s="653"/>
      <c r="T17" s="117"/>
      <c r="U17" s="968"/>
      <c r="V17" s="969"/>
      <c r="W17" s="969"/>
      <c r="X17" s="969"/>
      <c r="Y17" s="969"/>
      <c r="Z17" s="969"/>
      <c r="AA17" s="970"/>
      <c r="AD17" s="968"/>
      <c r="AE17" s="969"/>
      <c r="AF17" s="969"/>
      <c r="AG17" s="969"/>
      <c r="AH17" s="969"/>
      <c r="AI17" s="969"/>
      <c r="AJ17" s="970"/>
      <c r="AM17" s="968"/>
      <c r="AN17" s="969"/>
      <c r="AO17" s="969"/>
      <c r="AP17" s="969"/>
      <c r="AQ17" s="969"/>
      <c r="AR17" s="969"/>
      <c r="AS17" s="970"/>
      <c r="AV17" s="89"/>
    </row>
    <row r="18" spans="2:48" ht="18.75" customHeight="1" thickBot="1">
      <c r="B18" s="89"/>
      <c r="F18" s="283">
        <v>0.76405199999999995</v>
      </c>
      <c r="G18" s="110"/>
      <c r="H18" s="455"/>
      <c r="I18" s="466"/>
      <c r="K18" s="247">
        <v>0.89370000000000005</v>
      </c>
      <c r="L18" s="110"/>
      <c r="M18" s="549">
        <v>0</v>
      </c>
      <c r="N18" s="652"/>
      <c r="O18" s="62"/>
      <c r="P18" s="536">
        <v>0.89490000000000003</v>
      </c>
      <c r="Q18" s="527"/>
      <c r="R18" s="546">
        <v>0</v>
      </c>
      <c r="S18" s="654"/>
      <c r="T18" s="80"/>
      <c r="U18" s="968"/>
      <c r="V18" s="969"/>
      <c r="W18" s="969"/>
      <c r="X18" s="969"/>
      <c r="Y18" s="969"/>
      <c r="Z18" s="969"/>
      <c r="AA18" s="970"/>
      <c r="AD18" s="968"/>
      <c r="AE18" s="969"/>
      <c r="AF18" s="969"/>
      <c r="AG18" s="969"/>
      <c r="AH18" s="969"/>
      <c r="AI18" s="969"/>
      <c r="AJ18" s="970"/>
      <c r="AM18" s="968"/>
      <c r="AN18" s="969"/>
      <c r="AO18" s="969"/>
      <c r="AP18" s="969"/>
      <c r="AQ18" s="969"/>
      <c r="AR18" s="969"/>
      <c r="AS18" s="970"/>
      <c r="AV18" s="89"/>
    </row>
    <row r="19" spans="2:48" ht="18.75" customHeight="1" thickBot="1">
      <c r="B19" s="89"/>
      <c r="F19" s="289"/>
      <c r="G19" s="62"/>
      <c r="H19" s="23"/>
      <c r="I19" s="80"/>
      <c r="J19" s="80"/>
      <c r="K19" s="177"/>
      <c r="L19" s="62"/>
      <c r="M19" s="311"/>
      <c r="P19" s="80"/>
      <c r="Q19" s="80"/>
      <c r="R19" s="80"/>
      <c r="S19" s="80"/>
      <c r="T19" s="80"/>
      <c r="U19" s="968"/>
      <c r="V19" s="969"/>
      <c r="W19" s="969"/>
      <c r="X19" s="969"/>
      <c r="Y19" s="969"/>
      <c r="Z19" s="969"/>
      <c r="AA19" s="970"/>
      <c r="AD19" s="968"/>
      <c r="AE19" s="969"/>
      <c r="AF19" s="969"/>
      <c r="AG19" s="969"/>
      <c r="AH19" s="969"/>
      <c r="AI19" s="969"/>
      <c r="AJ19" s="970"/>
      <c r="AM19" s="968"/>
      <c r="AN19" s="969"/>
      <c r="AO19" s="969"/>
      <c r="AP19" s="969"/>
      <c r="AQ19" s="969"/>
      <c r="AR19" s="969"/>
      <c r="AS19" s="970"/>
      <c r="AV19" s="89"/>
    </row>
    <row r="20" spans="2:48" ht="18.75" customHeight="1">
      <c r="B20" s="89"/>
      <c r="E20" s="898" t="s">
        <v>71</v>
      </c>
      <c r="F20" s="899"/>
      <c r="G20" s="899"/>
      <c r="H20" s="899"/>
      <c r="I20" s="900"/>
      <c r="K20" s="946" t="s">
        <v>40</v>
      </c>
      <c r="L20" s="947"/>
      <c r="M20" s="947"/>
      <c r="N20" s="948"/>
      <c r="O20" s="523"/>
      <c r="P20" s="523"/>
      <c r="Q20" s="523"/>
      <c r="R20" s="523"/>
      <c r="S20" s="523"/>
      <c r="T20" s="80"/>
      <c r="U20" s="968"/>
      <c r="V20" s="969"/>
      <c r="W20" s="969"/>
      <c r="X20" s="969"/>
      <c r="Y20" s="969"/>
      <c r="Z20" s="969"/>
      <c r="AA20" s="970"/>
      <c r="AD20" s="968"/>
      <c r="AE20" s="969"/>
      <c r="AF20" s="969"/>
      <c r="AG20" s="969"/>
      <c r="AH20" s="969"/>
      <c r="AI20" s="969"/>
      <c r="AJ20" s="970"/>
      <c r="AM20" s="968"/>
      <c r="AN20" s="969"/>
      <c r="AO20" s="969"/>
      <c r="AP20" s="969"/>
      <c r="AQ20" s="969"/>
      <c r="AR20" s="969"/>
      <c r="AS20" s="970"/>
      <c r="AV20" s="89"/>
    </row>
    <row r="21" spans="2:48" ht="18.75" customHeight="1" thickBot="1">
      <c r="B21" s="89"/>
      <c r="E21" s="873" t="s">
        <v>228</v>
      </c>
      <c r="F21" s="874"/>
      <c r="G21" s="874"/>
      <c r="H21" s="874"/>
      <c r="I21" s="775">
        <f>(F14-F18)/(H9-F9)*1000</f>
        <v>1.8633103448275872</v>
      </c>
      <c r="K21" s="873" t="s">
        <v>231</v>
      </c>
      <c r="L21" s="872"/>
      <c r="M21" s="874"/>
      <c r="N21" s="770">
        <f>IF('Spec Entry'!$G$28='Spec Entry'!$A$16,R_AC_LL_max,IF('Spec Entry'!$G$28='Spec Entry'!$A$15,R_AC_LL,))</f>
        <v>2.0142857142857147</v>
      </c>
      <c r="O21" s="524"/>
      <c r="P21" s="524"/>
      <c r="Q21" s="524"/>
      <c r="R21" s="524"/>
      <c r="S21" s="524"/>
      <c r="T21" s="80"/>
      <c r="U21" s="971"/>
      <c r="V21" s="972"/>
      <c r="W21" s="972"/>
      <c r="X21" s="972"/>
      <c r="Y21" s="972"/>
      <c r="Z21" s="972"/>
      <c r="AA21" s="973"/>
      <c r="AD21" s="971"/>
      <c r="AE21" s="972"/>
      <c r="AF21" s="972"/>
      <c r="AG21" s="972"/>
      <c r="AH21" s="972"/>
      <c r="AI21" s="972"/>
      <c r="AJ21" s="973"/>
      <c r="AM21" s="971"/>
      <c r="AN21" s="972"/>
      <c r="AO21" s="972"/>
      <c r="AP21" s="972"/>
      <c r="AQ21" s="972"/>
      <c r="AR21" s="972"/>
      <c r="AS21" s="973"/>
      <c r="AV21" s="89"/>
    </row>
    <row r="22" spans="2:48" ht="18.75" customHeight="1">
      <c r="B22" s="89"/>
      <c r="E22" s="29"/>
      <c r="F22" s="17"/>
      <c r="G22" s="17"/>
      <c r="H22" s="24"/>
      <c r="I22" s="776"/>
      <c r="K22" s="1023"/>
      <c r="L22" s="1024"/>
      <c r="M22" s="1025"/>
      <c r="N22" s="771"/>
      <c r="O22" s="23"/>
      <c r="P22" s="23"/>
      <c r="Q22" s="23"/>
      <c r="R22" s="23"/>
      <c r="S22" s="23"/>
      <c r="T22" s="80"/>
      <c r="AV22" s="89"/>
    </row>
    <row r="23" spans="2:48" ht="16.5" customHeight="1">
      <c r="B23" s="89"/>
      <c r="E23" s="933" t="s">
        <v>479</v>
      </c>
      <c r="F23" s="1018"/>
      <c r="G23" s="1018"/>
      <c r="H23" s="1019"/>
      <c r="I23" s="775">
        <f>(PS0_IccMAX_App_V_OS-PS0_IccMAX_App_V_End)/(M9-K9)*1000</f>
        <v>1.8199578947368438</v>
      </c>
      <c r="K23" s="933" t="s">
        <v>481</v>
      </c>
      <c r="L23" s="931"/>
      <c r="M23" s="872"/>
      <c r="N23" s="772">
        <f>R_AC_LL_OS_IccMAX_App</f>
        <v>3.5894736842105281</v>
      </c>
      <c r="O23" s="524"/>
      <c r="P23" s="524"/>
      <c r="Q23" s="524"/>
      <c r="R23" s="524"/>
      <c r="S23" s="524"/>
      <c r="T23" s="23"/>
      <c r="AV23" s="89"/>
    </row>
    <row r="24" spans="2:48" ht="12.75" customHeight="1">
      <c r="B24" s="89"/>
      <c r="E24" s="29"/>
      <c r="F24" s="17"/>
      <c r="G24" s="17"/>
      <c r="H24" s="17"/>
      <c r="I24" s="776"/>
      <c r="K24" s="29"/>
      <c r="L24" s="17"/>
      <c r="M24" s="17"/>
      <c r="N24" s="773"/>
      <c r="O24" s="62"/>
      <c r="P24" s="62"/>
      <c r="Q24" s="62"/>
      <c r="R24" s="62"/>
      <c r="S24" s="62"/>
      <c r="T24" s="23"/>
      <c r="AV24" s="89"/>
    </row>
    <row r="25" spans="2:48" ht="16.5" customHeight="1">
      <c r="B25" s="89"/>
      <c r="E25" s="933" t="s">
        <v>480</v>
      </c>
      <c r="F25" s="1018"/>
      <c r="G25" s="1018"/>
      <c r="H25" s="1019"/>
      <c r="I25" s="777">
        <f>(PS0_IccMax_V_OS-PS0_IccMAX_V_End)/(R9-P9)*1000</f>
        <v>1.8422068965517251</v>
      </c>
      <c r="K25" s="933" t="s">
        <v>482</v>
      </c>
      <c r="L25" s="931"/>
      <c r="M25" s="872"/>
      <c r="N25" s="774">
        <f>R_AC_LL_OS_IccMAX</f>
        <v>5.5068965517241377</v>
      </c>
      <c r="O25" s="62"/>
      <c r="P25" s="62"/>
      <c r="Q25" s="62"/>
      <c r="R25" s="62"/>
      <c r="S25" s="62"/>
      <c r="T25" s="23"/>
      <c r="AV25" s="89"/>
    </row>
    <row r="26" spans="2:48" ht="12.75" customHeight="1">
      <c r="B26" s="89"/>
      <c r="E26" s="29"/>
      <c r="F26" s="17"/>
      <c r="G26" s="17"/>
      <c r="H26" s="17"/>
      <c r="I26" s="32"/>
      <c r="K26" s="29"/>
      <c r="L26" s="17"/>
      <c r="M26" s="17"/>
      <c r="N26" s="498"/>
      <c r="O26" s="62"/>
      <c r="P26" s="62"/>
      <c r="Q26" s="62"/>
      <c r="R26" s="62"/>
      <c r="S26" s="62"/>
      <c r="T26" s="23"/>
      <c r="AV26" s="89"/>
    </row>
    <row r="27" spans="2:48" ht="12.75" customHeight="1">
      <c r="B27" s="89"/>
      <c r="E27" s="873" t="s">
        <v>337</v>
      </c>
      <c r="F27" s="874"/>
      <c r="G27" s="874"/>
      <c r="H27" s="874"/>
      <c r="I27" s="430">
        <f>H18</f>
        <v>0</v>
      </c>
      <c r="K27" s="1020" t="s">
        <v>338</v>
      </c>
      <c r="L27" s="1021"/>
      <c r="M27" s="1021">
        <v>50</v>
      </c>
      <c r="N27" s="497">
        <f>T_UDS_MAX</f>
        <v>0</v>
      </c>
      <c r="O27" s="525"/>
      <c r="P27" s="525"/>
      <c r="Q27" s="525"/>
      <c r="R27" s="525"/>
      <c r="S27" s="525"/>
      <c r="T27" s="23"/>
      <c r="V27" s="429"/>
      <c r="AV27" s="89"/>
    </row>
    <row r="28" spans="2:48" ht="12.75" customHeight="1">
      <c r="B28" s="89"/>
      <c r="E28" s="963"/>
      <c r="F28" s="964"/>
      <c r="G28" s="24"/>
      <c r="H28" s="85"/>
      <c r="I28" s="540"/>
      <c r="K28" s="950"/>
      <c r="L28" s="951"/>
      <c r="M28" s="952"/>
      <c r="N28" s="543"/>
      <c r="O28" s="23"/>
      <c r="P28" s="23"/>
      <c r="Q28" s="23"/>
      <c r="R28" s="23"/>
      <c r="S28" s="23"/>
      <c r="T28" s="23"/>
      <c r="AV28" s="89"/>
    </row>
    <row r="29" spans="2:48" ht="13.5" customHeight="1">
      <c r="B29" s="89"/>
      <c r="E29" s="905" t="s">
        <v>427</v>
      </c>
      <c r="F29" s="874"/>
      <c r="G29" s="874"/>
      <c r="H29" s="874"/>
      <c r="I29" s="430">
        <f>M18</f>
        <v>0</v>
      </c>
      <c r="K29" s="933" t="s">
        <v>464</v>
      </c>
      <c r="L29" s="931"/>
      <c r="M29" s="872">
        <v>50</v>
      </c>
      <c r="N29" s="428">
        <f>T_OVS_Max_IccMAX_App</f>
        <v>10</v>
      </c>
      <c r="O29" s="525"/>
      <c r="P29" s="525"/>
      <c r="Q29" s="525"/>
      <c r="R29" s="525"/>
      <c r="S29" s="525"/>
      <c r="T29" s="23"/>
      <c r="AV29" s="89"/>
    </row>
    <row r="30" spans="2:48" ht="13.5" customHeight="1">
      <c r="B30" s="89"/>
      <c r="E30" s="963"/>
      <c r="F30" s="964"/>
      <c r="G30" s="24"/>
      <c r="H30" s="85"/>
      <c r="I30" s="540"/>
      <c r="K30" s="950"/>
      <c r="L30" s="951"/>
      <c r="M30" s="952"/>
      <c r="N30" s="543"/>
      <c r="O30" s="23"/>
      <c r="P30" s="23"/>
      <c r="Q30" s="23"/>
      <c r="R30" s="23"/>
      <c r="S30" s="23"/>
      <c r="T30" s="23"/>
      <c r="AV30" s="89"/>
    </row>
    <row r="31" spans="2:48" ht="13.5" customHeight="1">
      <c r="B31" s="89"/>
      <c r="E31" s="905" t="s">
        <v>428</v>
      </c>
      <c r="F31" s="874"/>
      <c r="G31" s="874"/>
      <c r="H31" s="874"/>
      <c r="I31" s="545">
        <f>R18</f>
        <v>0</v>
      </c>
      <c r="K31" s="1022" t="s">
        <v>429</v>
      </c>
      <c r="L31" s="931"/>
      <c r="M31" s="872">
        <v>50</v>
      </c>
      <c r="N31" s="497">
        <f>T_OVS_Max_IccMAX</f>
        <v>30</v>
      </c>
      <c r="O31" s="23"/>
      <c r="P31" s="23"/>
      <c r="Q31" s="23"/>
      <c r="R31" s="23"/>
      <c r="S31" s="23"/>
      <c r="T31" s="23"/>
      <c r="AV31" s="89"/>
    </row>
    <row r="32" spans="2:48" ht="13.5" customHeight="1" thickBot="1">
      <c r="B32" s="89"/>
      <c r="E32" s="516"/>
      <c r="F32" s="517"/>
      <c r="G32" s="517"/>
      <c r="H32" s="541"/>
      <c r="I32" s="542"/>
      <c r="K32" s="515"/>
      <c r="L32" s="222"/>
      <c r="M32" s="222"/>
      <c r="N32" s="544"/>
      <c r="O32" s="23"/>
      <c r="P32" s="23"/>
      <c r="Q32" s="23"/>
      <c r="R32" s="23"/>
      <c r="S32" s="23"/>
      <c r="T32" s="23"/>
      <c r="AV32" s="89"/>
    </row>
    <row r="33" spans="1:48" ht="13.5" customHeight="1">
      <c r="B33" s="89"/>
      <c r="O33"/>
      <c r="T33" s="23"/>
      <c r="AV33" s="89"/>
    </row>
    <row r="34" spans="1:48" ht="13.5" customHeight="1">
      <c r="B34" s="89"/>
      <c r="O34"/>
      <c r="T34" s="23"/>
      <c r="AV34" s="89"/>
    </row>
    <row r="35" spans="1:48" ht="15.75">
      <c r="B35" s="89"/>
      <c r="D35" s="24"/>
      <c r="E35" s="24"/>
      <c r="F35" s="85"/>
      <c r="G35" s="85"/>
      <c r="H35" s="87"/>
      <c r="J35" s="24"/>
      <c r="K35" s="24"/>
      <c r="L35" s="24"/>
      <c r="M35" s="23"/>
      <c r="N35" s="23"/>
      <c r="O35" s="23"/>
      <c r="P35" s="23"/>
      <c r="Q35" s="23"/>
      <c r="R35" s="23"/>
      <c r="S35" s="23"/>
      <c r="T35" s="23"/>
      <c r="U35" s="73"/>
      <c r="V35" s="73"/>
      <c r="W35" s="73"/>
      <c r="X35" s="73"/>
      <c r="Y35" s="73"/>
      <c r="Z35" s="73"/>
      <c r="AA35" s="73"/>
      <c r="AD35" s="73"/>
      <c r="AE35" s="73"/>
      <c r="AF35" s="73"/>
      <c r="AG35" s="73"/>
      <c r="AH35" s="73"/>
      <c r="AI35" s="73"/>
      <c r="AJ35" s="73"/>
      <c r="AM35" s="73"/>
      <c r="AN35" s="73"/>
      <c r="AO35" s="73"/>
      <c r="AP35" s="73"/>
      <c r="AQ35" s="73"/>
      <c r="AR35" s="73"/>
      <c r="AS35" s="73"/>
      <c r="AV35" s="89"/>
    </row>
    <row r="36" spans="1:48">
      <c r="B36" s="89"/>
      <c r="D36" s="884" t="s">
        <v>229</v>
      </c>
      <c r="E36" s="884"/>
      <c r="F36" s="884"/>
      <c r="G36" s="884"/>
      <c r="H36" s="884"/>
      <c r="I36" s="884"/>
      <c r="J36" s="884"/>
      <c r="K36" s="895"/>
      <c r="L36" s="220"/>
      <c r="M36" s="153" t="s">
        <v>51</v>
      </c>
      <c r="N36" s="122"/>
      <c r="O36" s="122"/>
      <c r="P36" s="122"/>
      <c r="Q36" s="122"/>
      <c r="R36" s="122"/>
      <c r="S36" s="122"/>
      <c r="T36" s="23"/>
      <c r="U36" s="958" t="s">
        <v>85</v>
      </c>
      <c r="V36" s="958"/>
      <c r="W36" s="958"/>
      <c r="X36" s="958"/>
      <c r="Y36" s="958"/>
      <c r="Z36" s="958"/>
      <c r="AA36" s="958"/>
      <c r="AB36" s="96"/>
      <c r="AC36" s="96"/>
      <c r="AD36" s="958" t="s">
        <v>52</v>
      </c>
      <c r="AE36" s="958"/>
      <c r="AF36" s="958"/>
      <c r="AG36" s="958"/>
      <c r="AH36" s="958"/>
      <c r="AI36" s="958"/>
      <c r="AJ36" s="958"/>
      <c r="AK36" s="96"/>
      <c r="AL36" s="96"/>
      <c r="AM36" s="958" t="s">
        <v>53</v>
      </c>
      <c r="AN36" s="958"/>
      <c r="AO36" s="958"/>
      <c r="AP36" s="958"/>
      <c r="AQ36" s="958"/>
      <c r="AR36" s="958"/>
      <c r="AS36" s="958"/>
      <c r="AT36" s="96"/>
      <c r="AV36" s="89"/>
    </row>
    <row r="37" spans="1:48">
      <c r="B37" s="89"/>
      <c r="D37" s="884" t="s">
        <v>483</v>
      </c>
      <c r="E37" s="884"/>
      <c r="F37" s="884"/>
      <c r="G37" s="884"/>
      <c r="H37" s="884"/>
      <c r="I37" s="884"/>
      <c r="J37" s="884"/>
      <c r="K37" s="895"/>
      <c r="L37" s="220"/>
      <c r="M37" s="153" t="s">
        <v>51</v>
      </c>
      <c r="N37" s="122"/>
      <c r="O37" s="122"/>
      <c r="P37" s="122"/>
      <c r="Q37" s="122"/>
      <c r="R37" s="122"/>
      <c r="S37" s="122"/>
      <c r="T37" s="23"/>
      <c r="U37" s="958"/>
      <c r="V37" s="958"/>
      <c r="W37" s="958"/>
      <c r="X37" s="958"/>
      <c r="Y37" s="958"/>
      <c r="Z37" s="958"/>
      <c r="AA37" s="958"/>
      <c r="AB37" s="154" t="s">
        <v>51</v>
      </c>
      <c r="AD37" s="958"/>
      <c r="AE37" s="958"/>
      <c r="AF37" s="958"/>
      <c r="AG37" s="958"/>
      <c r="AH37" s="958"/>
      <c r="AI37" s="958"/>
      <c r="AJ37" s="958"/>
      <c r="AK37" s="154" t="s">
        <v>51</v>
      </c>
      <c r="AL37" s="97"/>
      <c r="AM37" s="958"/>
      <c r="AN37" s="958"/>
      <c r="AO37" s="958"/>
      <c r="AP37" s="958"/>
      <c r="AQ37" s="958"/>
      <c r="AR37" s="958"/>
      <c r="AS37" s="958"/>
      <c r="AT37" s="154" t="s">
        <v>51</v>
      </c>
      <c r="AV37" s="89"/>
    </row>
    <row r="38" spans="1:48">
      <c r="B38" s="89"/>
      <c r="D38" s="895" t="s">
        <v>339</v>
      </c>
      <c r="E38" s="896"/>
      <c r="F38" s="896"/>
      <c r="G38" s="896"/>
      <c r="H38" s="896"/>
      <c r="I38" s="896"/>
      <c r="J38" s="896"/>
      <c r="K38" s="896"/>
      <c r="L38" s="897"/>
      <c r="M38" s="153" t="s">
        <v>51</v>
      </c>
      <c r="N38" s="122"/>
      <c r="O38" s="122"/>
      <c r="P38" s="122"/>
      <c r="Q38" s="122"/>
      <c r="R38" s="122"/>
      <c r="S38" s="122"/>
      <c r="T38" s="80"/>
      <c r="U38" s="66"/>
      <c r="V38" s="66"/>
      <c r="W38" s="66"/>
      <c r="X38" s="66"/>
      <c r="Y38" s="66"/>
      <c r="Z38" s="66"/>
      <c r="AA38" s="66"/>
      <c r="AD38" s="66"/>
      <c r="AE38" s="66"/>
      <c r="AF38" s="66"/>
      <c r="AG38" s="66"/>
      <c r="AH38" s="66"/>
      <c r="AI38" s="66"/>
      <c r="AJ38" s="66"/>
      <c r="AV38" s="89"/>
    </row>
    <row r="39" spans="1:48">
      <c r="B39" s="89"/>
      <c r="O39"/>
      <c r="T39" s="80"/>
      <c r="U39" s="66"/>
      <c r="V39" s="66"/>
      <c r="W39" s="66"/>
      <c r="X39" s="66"/>
      <c r="Y39" s="66"/>
      <c r="Z39" s="66"/>
      <c r="AA39" s="66"/>
      <c r="AD39" s="66"/>
      <c r="AE39" s="66"/>
      <c r="AF39" s="66"/>
      <c r="AG39" s="66"/>
      <c r="AH39" s="66"/>
      <c r="AI39" s="66"/>
      <c r="AJ39" s="66"/>
      <c r="AV39" s="89"/>
    </row>
    <row r="40" spans="1:48" ht="12.75" customHeight="1">
      <c r="B40" s="89"/>
      <c r="C40" s="89"/>
      <c r="D40" s="89"/>
      <c r="E40" s="89"/>
      <c r="F40" s="89"/>
      <c r="G40" s="89"/>
      <c r="H40" s="95"/>
      <c r="I40" s="89"/>
      <c r="J40" s="89"/>
      <c r="K40" s="89"/>
      <c r="L40" s="89"/>
      <c r="M40" s="89"/>
      <c r="N40" s="89"/>
      <c r="O40" s="89"/>
      <c r="P40" s="93"/>
      <c r="Q40" s="93"/>
      <c r="R40" s="93"/>
      <c r="S40" s="93"/>
      <c r="T40" s="93"/>
      <c r="U40" s="93"/>
      <c r="V40" s="93"/>
      <c r="W40" s="89"/>
      <c r="X40" s="89"/>
      <c r="Y40" s="89"/>
      <c r="Z40" s="89"/>
      <c r="AA40" s="89"/>
      <c r="AB40" s="89"/>
      <c r="AC40" s="89"/>
      <c r="AD40" s="89"/>
      <c r="AE40" s="89"/>
      <c r="AF40" s="89"/>
      <c r="AG40" s="89"/>
      <c r="AH40" s="89"/>
      <c r="AI40" s="89"/>
      <c r="AJ40" s="89"/>
      <c r="AK40" s="89"/>
      <c r="AL40" s="89"/>
      <c r="AM40" s="89"/>
      <c r="AN40" s="89"/>
      <c r="AO40" s="89"/>
      <c r="AP40" s="89"/>
      <c r="AQ40" s="89"/>
      <c r="AR40" s="547"/>
      <c r="AS40" s="547"/>
      <c r="AT40" s="547"/>
      <c r="AU40" s="547"/>
      <c r="AV40" s="547"/>
    </row>
    <row r="41" spans="1:48" ht="12.75" customHeight="1">
      <c r="P41" s="17"/>
      <c r="Q41" s="17"/>
      <c r="R41" s="17"/>
      <c r="S41" s="17"/>
      <c r="T41" s="17"/>
      <c r="U41" s="17"/>
      <c r="V41" s="17"/>
    </row>
    <row r="42" spans="1:48">
      <c r="A42" s="126"/>
      <c r="D42" s="20"/>
      <c r="E42" s="53"/>
      <c r="F42" s="53"/>
      <c r="G42" s="53"/>
      <c r="H42" s="84"/>
      <c r="I42" s="53"/>
      <c r="J42" s="53"/>
      <c r="K42" s="62"/>
      <c r="L42" s="62"/>
      <c r="O42" s="62"/>
      <c r="W42" s="62"/>
      <c r="X42" s="62"/>
      <c r="Y42" s="62"/>
    </row>
    <row r="43" spans="1:48">
      <c r="A43" s="126"/>
      <c r="B43" s="89"/>
      <c r="C43" s="89"/>
      <c r="D43" s="90"/>
      <c r="E43" s="91"/>
      <c r="F43" s="91"/>
      <c r="G43" s="91"/>
      <c r="H43" s="92"/>
      <c r="I43" s="91"/>
      <c r="J43" s="91"/>
      <c r="K43" s="93"/>
      <c r="L43" s="93"/>
      <c r="M43" s="94"/>
      <c r="N43" s="94"/>
      <c r="O43" s="93"/>
      <c r="P43" s="89"/>
      <c r="Q43" s="89"/>
      <c r="R43" s="89"/>
      <c r="S43" s="89"/>
      <c r="T43" s="89"/>
      <c r="U43" s="89"/>
      <c r="V43" s="89"/>
      <c r="W43" s="93"/>
      <c r="X43" s="93"/>
      <c r="Y43" s="93"/>
      <c r="Z43" s="89"/>
      <c r="AA43" s="89"/>
      <c r="AB43" s="89"/>
      <c r="AC43" s="89"/>
      <c r="AD43" s="89"/>
      <c r="AE43" s="89"/>
      <c r="AF43" s="89"/>
      <c r="AG43" s="89"/>
      <c r="AH43" s="89"/>
    </row>
    <row r="44" spans="1:48" ht="13.5" thickBot="1">
      <c r="A44" s="127"/>
      <c r="B44" s="89"/>
      <c r="AH44" s="89"/>
    </row>
    <row r="45" spans="1:48" ht="32.25" customHeight="1" thickBot="1">
      <c r="A45" s="128"/>
      <c r="B45" s="89"/>
      <c r="D45" s="955" t="s">
        <v>103</v>
      </c>
      <c r="E45" s="956"/>
      <c r="F45" s="956"/>
      <c r="G45" s="956"/>
      <c r="H45" s="956"/>
      <c r="I45" s="956"/>
      <c r="J45" s="956"/>
      <c r="K45" s="956"/>
      <c r="L45" s="956"/>
      <c r="M45" s="956"/>
      <c r="N45" s="956"/>
      <c r="P45" s="965" t="s">
        <v>325</v>
      </c>
      <c r="Q45" s="966"/>
      <c r="R45" s="966"/>
      <c r="S45" s="966"/>
      <c r="T45" s="966"/>
      <c r="U45" s="966"/>
      <c r="V45" s="967"/>
      <c r="Y45" s="965" t="s">
        <v>93</v>
      </c>
      <c r="Z45" s="966"/>
      <c r="AA45" s="966"/>
      <c r="AB45" s="966"/>
      <c r="AC45" s="966"/>
      <c r="AD45" s="966"/>
      <c r="AE45" s="967"/>
      <c r="AH45" s="89"/>
    </row>
    <row r="46" spans="1:48" ht="25.5">
      <c r="B46" s="89"/>
      <c r="D46" s="155" t="s">
        <v>13</v>
      </c>
      <c r="E46" s="224"/>
      <c r="F46" s="249" t="s">
        <v>36</v>
      </c>
      <c r="G46" s="250"/>
      <c r="H46" s="473" t="s">
        <v>37</v>
      </c>
      <c r="I46" s="477"/>
      <c r="J46" s="96"/>
      <c r="K46" s="158"/>
      <c r="L46" s="158"/>
      <c r="M46" s="158"/>
      <c r="N46" s="141"/>
      <c r="O46"/>
      <c r="P46" s="968"/>
      <c r="Q46" s="969"/>
      <c r="R46" s="969"/>
      <c r="S46" s="969"/>
      <c r="T46" s="969"/>
      <c r="U46" s="969"/>
      <c r="V46" s="970"/>
      <c r="Y46" s="968"/>
      <c r="Z46" s="969"/>
      <c r="AA46" s="969"/>
      <c r="AB46" s="969"/>
      <c r="AC46" s="969"/>
      <c r="AD46" s="969"/>
      <c r="AE46" s="970"/>
      <c r="AH46" s="89"/>
    </row>
    <row r="47" spans="1:48" ht="12.75" customHeight="1">
      <c r="B47" s="89"/>
      <c r="D47" s="159">
        <f>VID_1</f>
        <v>0.9</v>
      </c>
      <c r="E47" s="232"/>
      <c r="F47" s="478">
        <f>IF(VR_TDC&gt;=10, VR_TDC-5,IF(VR_TDC&lt;10,4))</f>
        <v>43</v>
      </c>
      <c r="G47" s="460"/>
      <c r="H47" s="457">
        <f>IF(VR_TDC+5 &gt;=IccMax,IccMax-1,VR_TDC+5)</f>
        <v>53</v>
      </c>
      <c r="I47" s="462"/>
      <c r="J47" s="96"/>
      <c r="L47" s="160"/>
      <c r="M47" s="160"/>
      <c r="N47" s="141"/>
      <c r="O47"/>
      <c r="P47" s="968"/>
      <c r="Q47" s="969"/>
      <c r="R47" s="969"/>
      <c r="S47" s="969"/>
      <c r="T47" s="969"/>
      <c r="U47" s="969"/>
      <c r="V47" s="970"/>
      <c r="Y47" s="968"/>
      <c r="Z47" s="969"/>
      <c r="AA47" s="969"/>
      <c r="AB47" s="969"/>
      <c r="AC47" s="969"/>
      <c r="AD47" s="969"/>
      <c r="AE47" s="970"/>
      <c r="AH47" s="89"/>
    </row>
    <row r="48" spans="1:48" ht="12.75" customHeight="1">
      <c r="B48" s="89"/>
      <c r="D48" s="294" t="s">
        <v>324</v>
      </c>
      <c r="E48" s="232"/>
      <c r="F48" s="240" t="s">
        <v>196</v>
      </c>
      <c r="G48" s="453" t="s">
        <v>395</v>
      </c>
      <c r="H48" s="458" t="s">
        <v>195</v>
      </c>
      <c r="I48" s="241" t="s">
        <v>396</v>
      </c>
      <c r="N48" s="141"/>
      <c r="O48"/>
      <c r="P48" s="968"/>
      <c r="Q48" s="969"/>
      <c r="R48" s="969"/>
      <c r="S48" s="969"/>
      <c r="T48" s="969"/>
      <c r="U48" s="969"/>
      <c r="V48" s="970"/>
      <c r="Y48" s="968"/>
      <c r="Z48" s="969"/>
      <c r="AA48" s="969"/>
      <c r="AB48" s="969"/>
      <c r="AC48" s="969"/>
      <c r="AD48" s="969"/>
      <c r="AE48" s="970"/>
      <c r="AH48" s="89"/>
    </row>
    <row r="49" spans="2:34" ht="12.75" customHeight="1">
      <c r="B49" s="89"/>
      <c r="D49" s="293">
        <f>dt</f>
        <v>65</v>
      </c>
      <c r="E49" s="232"/>
      <c r="F49" s="451">
        <v>0</v>
      </c>
      <c r="G49" s="472">
        <f>G11</f>
        <v>0.5</v>
      </c>
      <c r="H49" s="474">
        <v>0</v>
      </c>
      <c r="I49" s="464" t="s">
        <v>165</v>
      </c>
      <c r="J49" s="96"/>
      <c r="N49" s="141"/>
      <c r="O49"/>
      <c r="P49" s="968"/>
      <c r="Q49" s="969"/>
      <c r="R49" s="969"/>
      <c r="S49" s="969"/>
      <c r="T49" s="969"/>
      <c r="U49" s="969"/>
      <c r="V49" s="970"/>
      <c r="Y49" s="968"/>
      <c r="Z49" s="969"/>
      <c r="AA49" s="969"/>
      <c r="AB49" s="969"/>
      <c r="AC49" s="969"/>
      <c r="AD49" s="969"/>
      <c r="AE49" s="970"/>
      <c r="AH49" s="89"/>
    </row>
    <row r="50" spans="2:34" ht="17.25" customHeight="1">
      <c r="B50" s="89"/>
      <c r="D50" s="161" t="s">
        <v>38</v>
      </c>
      <c r="E50" s="235"/>
      <c r="F50" s="251"/>
      <c r="G50" s="17"/>
      <c r="H50" s="476"/>
      <c r="I50" s="479"/>
      <c r="J50" s="96"/>
      <c r="K50" s="160"/>
      <c r="L50" s="160"/>
      <c r="M50" s="160"/>
      <c r="N50" s="141"/>
      <c r="O50"/>
      <c r="P50" s="968"/>
      <c r="Q50" s="969"/>
      <c r="R50" s="969"/>
      <c r="S50" s="969"/>
      <c r="T50" s="969"/>
      <c r="U50" s="969"/>
      <c r="V50" s="970"/>
      <c r="Y50" s="968"/>
      <c r="Z50" s="969"/>
      <c r="AA50" s="969"/>
      <c r="AB50" s="969"/>
      <c r="AC50" s="969"/>
      <c r="AD50" s="969"/>
      <c r="AE50" s="970"/>
      <c r="AH50" s="89"/>
    </row>
    <row r="51" spans="2:34" ht="17.25" customHeight="1">
      <c r="B51" s="89"/>
      <c r="D51" s="163">
        <f>Duty_Cycle</f>
        <v>0.39102099927588702</v>
      </c>
      <c r="E51" s="162"/>
      <c r="F51" s="281" t="s">
        <v>90</v>
      </c>
      <c r="G51" s="17"/>
      <c r="H51" s="180"/>
      <c r="I51" s="30"/>
      <c r="J51" s="937" t="s">
        <v>104</v>
      </c>
      <c r="K51" s="937"/>
      <c r="L51" s="937"/>
      <c r="M51" s="937"/>
      <c r="N51" s="938"/>
      <c r="O51"/>
      <c r="P51" s="968"/>
      <c r="Q51" s="969"/>
      <c r="R51" s="969"/>
      <c r="S51" s="969"/>
      <c r="T51" s="969"/>
      <c r="U51" s="969"/>
      <c r="V51" s="970"/>
      <c r="Y51" s="968"/>
      <c r="Z51" s="969"/>
      <c r="AA51" s="969"/>
      <c r="AB51" s="969"/>
      <c r="AC51" s="969"/>
      <c r="AD51" s="969"/>
      <c r="AE51" s="970"/>
      <c r="AH51" s="89"/>
    </row>
    <row r="52" spans="2:34" ht="17.25" customHeight="1">
      <c r="B52" s="89"/>
      <c r="D52" s="254" t="s">
        <v>134</v>
      </c>
      <c r="E52" s="236"/>
      <c r="F52" s="282">
        <v>0.81630800000000003</v>
      </c>
      <c r="G52" s="17"/>
      <c r="H52" s="180"/>
      <c r="I52" s="252"/>
      <c r="J52" s="939"/>
      <c r="K52" s="939"/>
      <c r="L52" s="939"/>
      <c r="M52" s="939"/>
      <c r="N52" s="940"/>
      <c r="O52"/>
      <c r="P52" s="968"/>
      <c r="Q52" s="969"/>
      <c r="R52" s="969"/>
      <c r="S52" s="969"/>
      <c r="T52" s="969"/>
      <c r="U52" s="969"/>
      <c r="V52" s="970"/>
      <c r="Y52" s="968"/>
      <c r="Z52" s="969"/>
      <c r="AA52" s="969"/>
      <c r="AB52" s="969"/>
      <c r="AC52" s="969"/>
      <c r="AD52" s="969"/>
      <c r="AE52" s="970"/>
      <c r="AH52" s="89"/>
    </row>
    <row r="53" spans="2:34">
      <c r="B53" s="89"/>
      <c r="D53" s="255" t="s">
        <v>135</v>
      </c>
      <c r="E53" s="236"/>
      <c r="F53" s="957" t="s">
        <v>92</v>
      </c>
      <c r="G53" s="17"/>
      <c r="H53" s="180"/>
      <c r="I53" s="252"/>
      <c r="J53" s="939"/>
      <c r="K53" s="939"/>
      <c r="L53" s="939"/>
      <c r="M53" s="939"/>
      <c r="N53" s="940"/>
      <c r="O53" s="151"/>
      <c r="P53" s="968"/>
      <c r="Q53" s="969"/>
      <c r="R53" s="969"/>
      <c r="S53" s="969"/>
      <c r="T53" s="969"/>
      <c r="U53" s="969"/>
      <c r="V53" s="970"/>
      <c r="Y53" s="968"/>
      <c r="Z53" s="969"/>
      <c r="AA53" s="969"/>
      <c r="AB53" s="969"/>
      <c r="AC53" s="969"/>
      <c r="AD53" s="969"/>
      <c r="AE53" s="970"/>
      <c r="AH53" s="89"/>
    </row>
    <row r="54" spans="2:34" ht="12.75" customHeight="1">
      <c r="B54" s="89"/>
      <c r="D54" s="17"/>
      <c r="E54" s="236"/>
      <c r="F54" s="957"/>
      <c r="G54" s="17"/>
      <c r="H54" s="180"/>
      <c r="I54" s="252"/>
      <c r="J54" s="941"/>
      <c r="K54" s="941"/>
      <c r="L54" s="941"/>
      <c r="M54" s="941"/>
      <c r="N54" s="942"/>
      <c r="O54" s="151"/>
      <c r="P54" s="968"/>
      <c r="Q54" s="969"/>
      <c r="R54" s="969"/>
      <c r="S54" s="969"/>
      <c r="T54" s="969"/>
      <c r="U54" s="969"/>
      <c r="V54" s="970"/>
      <c r="Y54" s="968"/>
      <c r="Z54" s="969"/>
      <c r="AA54" s="969"/>
      <c r="AB54" s="969"/>
      <c r="AC54" s="969"/>
      <c r="AD54" s="969"/>
      <c r="AE54" s="970"/>
      <c r="AH54" s="89"/>
    </row>
    <row r="55" spans="2:34" ht="27.75" customHeight="1">
      <c r="B55" s="89"/>
      <c r="D55" s="96"/>
      <c r="E55" s="158"/>
      <c r="F55" s="957"/>
      <c r="G55" s="17"/>
      <c r="H55" s="180"/>
      <c r="I55" s="252"/>
      <c r="J55" s="96"/>
      <c r="K55" s="168"/>
      <c r="L55" s="168"/>
      <c r="M55" s="168"/>
      <c r="N55" s="179"/>
      <c r="O55" s="151"/>
      <c r="P55" s="968"/>
      <c r="Q55" s="969"/>
      <c r="R55" s="969"/>
      <c r="S55" s="969"/>
      <c r="T55" s="969"/>
      <c r="U55" s="969"/>
      <c r="V55" s="970"/>
      <c r="Y55" s="968"/>
      <c r="Z55" s="969"/>
      <c r="AA55" s="969"/>
      <c r="AB55" s="969"/>
      <c r="AC55" s="969"/>
      <c r="AD55" s="969"/>
      <c r="AE55" s="970"/>
      <c r="AH55" s="89"/>
    </row>
    <row r="56" spans="2:34" ht="17.25" customHeight="1" thickBot="1">
      <c r="B56" s="89"/>
      <c r="E56" s="164"/>
      <c r="F56" s="283">
        <v>0.79648399999999997</v>
      </c>
      <c r="G56" s="110"/>
      <c r="H56" s="475"/>
      <c r="I56" s="253"/>
      <c r="J56" s="96"/>
      <c r="K56" s="167"/>
      <c r="L56" s="167"/>
      <c r="M56" s="177"/>
      <c r="N56" s="178"/>
      <c r="O56" s="117"/>
      <c r="P56" s="968"/>
      <c r="Q56" s="969"/>
      <c r="R56" s="969"/>
      <c r="S56" s="969"/>
      <c r="T56" s="969"/>
      <c r="U56" s="969"/>
      <c r="V56" s="970"/>
      <c r="Y56" s="968"/>
      <c r="Z56" s="969"/>
      <c r="AA56" s="969"/>
      <c r="AB56" s="969"/>
      <c r="AC56" s="969"/>
      <c r="AD56" s="969"/>
      <c r="AE56" s="970"/>
      <c r="AH56" s="89"/>
    </row>
    <row r="57" spans="2:34" ht="18.75" customHeight="1" thickBot="1">
      <c r="B57" s="89"/>
      <c r="H57" s="222"/>
      <c r="P57" s="968"/>
      <c r="Q57" s="969"/>
      <c r="R57" s="969"/>
      <c r="S57" s="969"/>
      <c r="T57" s="969"/>
      <c r="U57" s="969"/>
      <c r="V57" s="970"/>
      <c r="Y57" s="968"/>
      <c r="Z57" s="969"/>
      <c r="AA57" s="969"/>
      <c r="AB57" s="969"/>
      <c r="AC57" s="969"/>
      <c r="AD57" s="969"/>
      <c r="AE57" s="970"/>
      <c r="AH57" s="89"/>
    </row>
    <row r="58" spans="2:34" ht="26.25" customHeight="1">
      <c r="B58" s="89"/>
      <c r="E58" s="898" t="s">
        <v>71</v>
      </c>
      <c r="F58" s="899"/>
      <c r="G58" s="899"/>
      <c r="H58" s="899"/>
      <c r="I58" s="900"/>
      <c r="K58" s="946" t="s">
        <v>40</v>
      </c>
      <c r="L58" s="947"/>
      <c r="M58" s="947"/>
      <c r="N58" s="948"/>
      <c r="O58" s="23"/>
      <c r="P58" s="968"/>
      <c r="Q58" s="969"/>
      <c r="R58" s="969"/>
      <c r="S58" s="969"/>
      <c r="T58" s="969"/>
      <c r="U58" s="969"/>
      <c r="V58" s="970"/>
      <c r="Y58" s="968"/>
      <c r="Z58" s="969"/>
      <c r="AA58" s="969"/>
      <c r="AB58" s="969"/>
      <c r="AC58" s="969"/>
      <c r="AD58" s="969"/>
      <c r="AE58" s="970"/>
      <c r="AH58" s="89"/>
    </row>
    <row r="59" spans="2:34" ht="12.75" customHeight="1">
      <c r="B59" s="89"/>
      <c r="E59" s="871" t="s">
        <v>228</v>
      </c>
      <c r="F59" s="931"/>
      <c r="G59" s="931"/>
      <c r="H59" s="872"/>
      <c r="I59" s="149">
        <f>(F52-F56)/(H47-F47)*1000</f>
        <v>1.9824000000000066</v>
      </c>
      <c r="K59" s="873" t="s">
        <v>231</v>
      </c>
      <c r="L59" s="872"/>
      <c r="M59" s="874"/>
      <c r="N59" s="148">
        <f>IF('Spec Entry'!$G$28='Spec Entry'!$A$16,R_AC_LL_max,IF('Spec Entry'!$G$28='Spec Entry'!$A$15,R_AC_LL,))</f>
        <v>2.0142857142857147</v>
      </c>
      <c r="O59" s="23"/>
      <c r="P59" s="968"/>
      <c r="Q59" s="969"/>
      <c r="R59" s="969"/>
      <c r="S59" s="969"/>
      <c r="T59" s="969"/>
      <c r="U59" s="969"/>
      <c r="V59" s="970"/>
      <c r="Y59" s="968"/>
      <c r="Z59" s="969"/>
      <c r="AA59" s="969"/>
      <c r="AB59" s="969"/>
      <c r="AC59" s="969"/>
      <c r="AD59" s="969"/>
      <c r="AE59" s="970"/>
      <c r="AH59" s="89"/>
    </row>
    <row r="60" spans="2:34" ht="12.75" customHeight="1" thickBot="1">
      <c r="B60" s="89"/>
      <c r="E60" s="953"/>
      <c r="F60" s="954"/>
      <c r="G60" s="222"/>
      <c r="H60" s="63"/>
      <c r="I60" s="86"/>
      <c r="K60" s="879"/>
      <c r="L60" s="949"/>
      <c r="M60" s="880"/>
      <c r="N60" s="64"/>
      <c r="O60" s="23"/>
      <c r="P60" s="968"/>
      <c r="Q60" s="969"/>
      <c r="R60" s="969"/>
      <c r="S60" s="969"/>
      <c r="T60" s="969"/>
      <c r="U60" s="969"/>
      <c r="V60" s="970"/>
      <c r="Y60" s="968"/>
      <c r="Z60" s="969"/>
      <c r="AA60" s="969"/>
      <c r="AB60" s="969"/>
      <c r="AC60" s="969"/>
      <c r="AD60" s="969"/>
      <c r="AE60" s="970"/>
      <c r="AH60" s="89"/>
    </row>
    <row r="61" spans="2:34" ht="12.75" customHeight="1">
      <c r="B61" s="89"/>
      <c r="O61" s="23"/>
      <c r="P61" s="968"/>
      <c r="Q61" s="969"/>
      <c r="R61" s="969"/>
      <c r="S61" s="969"/>
      <c r="T61" s="969"/>
      <c r="U61" s="969"/>
      <c r="V61" s="970"/>
      <c r="Y61" s="968"/>
      <c r="Z61" s="969"/>
      <c r="AA61" s="969"/>
      <c r="AB61" s="969"/>
      <c r="AC61" s="969"/>
      <c r="AD61" s="969"/>
      <c r="AE61" s="970"/>
      <c r="AH61" s="89"/>
    </row>
    <row r="62" spans="2:34" ht="13.5" customHeight="1">
      <c r="B62" s="89"/>
      <c r="H62"/>
      <c r="O62" s="23"/>
      <c r="P62" s="968"/>
      <c r="Q62" s="969"/>
      <c r="R62" s="969"/>
      <c r="S62" s="969"/>
      <c r="T62" s="969"/>
      <c r="U62" s="969"/>
      <c r="V62" s="970"/>
      <c r="Y62" s="968"/>
      <c r="Z62" s="969"/>
      <c r="AA62" s="969"/>
      <c r="AB62" s="969"/>
      <c r="AC62" s="969"/>
      <c r="AD62" s="969"/>
      <c r="AE62" s="970"/>
      <c r="AH62" s="89"/>
    </row>
    <row r="63" spans="2:34" ht="13.5" customHeight="1">
      <c r="B63" s="89"/>
      <c r="H63"/>
      <c r="O63" s="23"/>
      <c r="P63" s="968"/>
      <c r="Q63" s="969"/>
      <c r="R63" s="969"/>
      <c r="S63" s="969"/>
      <c r="T63" s="969"/>
      <c r="U63" s="969"/>
      <c r="V63" s="970"/>
      <c r="Y63" s="968"/>
      <c r="Z63" s="969"/>
      <c r="AA63" s="969"/>
      <c r="AB63" s="969"/>
      <c r="AC63" s="969"/>
      <c r="AD63" s="969"/>
      <c r="AE63" s="970"/>
      <c r="AH63" s="89"/>
    </row>
    <row r="64" spans="2:34" ht="13.5" customHeight="1" thickBot="1">
      <c r="B64" s="89"/>
      <c r="O64" s="23"/>
      <c r="P64" s="971"/>
      <c r="Q64" s="972"/>
      <c r="R64" s="972"/>
      <c r="S64" s="972"/>
      <c r="T64" s="972"/>
      <c r="U64" s="972"/>
      <c r="V64" s="973"/>
      <c r="Y64" s="971"/>
      <c r="Z64" s="972"/>
      <c r="AA64" s="972"/>
      <c r="AB64" s="972"/>
      <c r="AC64" s="972"/>
      <c r="AD64" s="972"/>
      <c r="AE64" s="973"/>
      <c r="AH64" s="89"/>
    </row>
    <row r="65" spans="1:34" ht="15.75">
      <c r="B65" s="89"/>
      <c r="D65" s="24"/>
      <c r="E65" s="24"/>
      <c r="F65" s="85"/>
      <c r="G65" s="85"/>
      <c r="H65" s="87"/>
      <c r="J65" s="24"/>
      <c r="K65" s="24"/>
      <c r="L65" s="24"/>
      <c r="M65" s="23"/>
      <c r="N65" s="23"/>
      <c r="O65" s="23"/>
      <c r="P65" s="73"/>
      <c r="Q65" s="73"/>
      <c r="R65" s="73"/>
      <c r="S65" s="73"/>
      <c r="T65" s="73"/>
      <c r="U65" s="73"/>
      <c r="V65" s="73"/>
      <c r="Y65" s="73"/>
      <c r="Z65" s="73"/>
      <c r="AA65" s="73"/>
      <c r="AB65" s="73"/>
      <c r="AC65" s="73"/>
      <c r="AD65" s="73"/>
      <c r="AE65" s="73"/>
      <c r="AH65" s="89"/>
    </row>
    <row r="66" spans="1:34">
      <c r="B66" s="89"/>
      <c r="D66" s="884" t="s">
        <v>229</v>
      </c>
      <c r="E66" s="884"/>
      <c r="F66" s="884"/>
      <c r="G66" s="884"/>
      <c r="H66" s="884"/>
      <c r="I66" s="884"/>
      <c r="J66" s="884"/>
      <c r="K66" s="895"/>
      <c r="L66" s="220"/>
      <c r="M66" s="153" t="s">
        <v>51</v>
      </c>
      <c r="N66" s="122"/>
      <c r="O66" s="23"/>
      <c r="P66" s="958" t="s">
        <v>85</v>
      </c>
      <c r="Q66" s="958"/>
      <c r="R66" s="958"/>
      <c r="S66" s="958"/>
      <c r="T66" s="958"/>
      <c r="U66" s="958"/>
      <c r="V66" s="958"/>
      <c r="W66" s="96"/>
      <c r="X66" s="96"/>
      <c r="Y66" s="958" t="s">
        <v>52</v>
      </c>
      <c r="Z66" s="958"/>
      <c r="AA66" s="958"/>
      <c r="AB66" s="958"/>
      <c r="AC66" s="958"/>
      <c r="AD66" s="958"/>
      <c r="AE66" s="958"/>
      <c r="AF66" s="96"/>
      <c r="AG66" s="96"/>
      <c r="AH66" s="89"/>
    </row>
    <row r="67" spans="1:34">
      <c r="B67" s="89"/>
      <c r="H67"/>
      <c r="N67" s="122"/>
      <c r="O67" s="23"/>
      <c r="P67" s="958"/>
      <c r="Q67" s="958"/>
      <c r="R67" s="958"/>
      <c r="S67" s="958"/>
      <c r="T67" s="958"/>
      <c r="U67" s="958"/>
      <c r="V67" s="958"/>
      <c r="W67" s="154" t="s">
        <v>51</v>
      </c>
      <c r="Y67" s="958"/>
      <c r="Z67" s="958"/>
      <c r="AA67" s="958"/>
      <c r="AB67" s="958"/>
      <c r="AC67" s="958"/>
      <c r="AD67" s="958"/>
      <c r="AE67" s="958"/>
      <c r="AF67" s="154" t="s">
        <v>51</v>
      </c>
      <c r="AG67" s="97"/>
      <c r="AH67" s="89"/>
    </row>
    <row r="68" spans="1:34">
      <c r="B68" s="89"/>
      <c r="H68"/>
      <c r="N68" s="122"/>
      <c r="P68" s="66"/>
      <c r="Q68" s="66"/>
      <c r="R68" s="66"/>
      <c r="S68" s="66"/>
      <c r="T68" s="66"/>
      <c r="U68" s="66"/>
      <c r="V68" s="66"/>
      <c r="Y68" s="66"/>
      <c r="Z68" s="66"/>
      <c r="AA68" s="66"/>
      <c r="AB68" s="66"/>
      <c r="AC68" s="66"/>
      <c r="AD68" s="66"/>
      <c r="AE68" s="66"/>
      <c r="AH68" s="89"/>
    </row>
    <row r="69" spans="1:34">
      <c r="B69" s="89"/>
      <c r="P69" s="66"/>
      <c r="Q69" s="66"/>
      <c r="R69" s="66"/>
      <c r="S69" s="66"/>
      <c r="T69" s="66"/>
      <c r="U69" s="66"/>
      <c r="V69" s="66"/>
      <c r="Y69" s="66"/>
      <c r="Z69" s="66"/>
      <c r="AA69" s="66"/>
      <c r="AB69" s="66"/>
      <c r="AC69" s="66"/>
      <c r="AD69" s="66"/>
      <c r="AE69" s="66"/>
      <c r="AH69" s="89"/>
    </row>
    <row r="70" spans="1:34" ht="12.75" customHeight="1">
      <c r="B70" s="89"/>
      <c r="C70" s="89"/>
      <c r="D70" s="89"/>
      <c r="E70" s="89"/>
      <c r="F70" s="89"/>
      <c r="G70" s="89"/>
      <c r="H70" s="95"/>
      <c r="I70" s="89"/>
      <c r="J70" s="89"/>
      <c r="K70" s="89"/>
      <c r="L70" s="89"/>
      <c r="M70" s="89"/>
      <c r="N70" s="89"/>
      <c r="O70" s="89"/>
      <c r="P70" s="93"/>
      <c r="Q70" s="93"/>
      <c r="R70" s="93"/>
      <c r="S70" s="93"/>
      <c r="T70" s="93"/>
      <c r="U70" s="93"/>
      <c r="V70" s="93"/>
      <c r="W70" s="89"/>
      <c r="X70" s="89"/>
      <c r="Y70" s="89"/>
      <c r="Z70" s="89"/>
      <c r="AA70" s="89"/>
      <c r="AB70" s="89"/>
      <c r="AC70" s="89"/>
      <c r="AD70" s="89"/>
      <c r="AE70" s="89"/>
      <c r="AF70" s="89"/>
      <c r="AG70" s="89"/>
      <c r="AH70" s="89"/>
    </row>
    <row r="71" spans="1:34" ht="12.75" customHeight="1">
      <c r="P71" s="17"/>
      <c r="Q71" s="17"/>
      <c r="R71" s="17"/>
      <c r="S71" s="17"/>
      <c r="T71" s="17"/>
      <c r="U71" s="17"/>
      <c r="V71" s="17"/>
    </row>
    <row r="73" spans="1:34">
      <c r="A73" s="126" t="s">
        <v>58</v>
      </c>
      <c r="B73" s="89"/>
      <c r="C73" s="89"/>
      <c r="D73" s="90"/>
      <c r="E73" s="91"/>
      <c r="F73" s="91"/>
      <c r="G73" s="91"/>
      <c r="H73" s="92"/>
      <c r="I73" s="91"/>
      <c r="J73" s="91"/>
      <c r="K73" s="93"/>
      <c r="L73" s="93"/>
      <c r="M73" s="94"/>
      <c r="N73" s="94"/>
      <c r="O73" s="93"/>
      <c r="P73" s="89"/>
      <c r="Q73" s="89"/>
      <c r="R73" s="89"/>
      <c r="S73" s="89"/>
      <c r="T73" s="89"/>
      <c r="U73" s="89"/>
      <c r="V73" s="89"/>
      <c r="W73" s="93"/>
      <c r="X73" s="93"/>
      <c r="Y73" s="93"/>
      <c r="Z73" s="89"/>
      <c r="AA73" s="89"/>
      <c r="AB73" s="89"/>
      <c r="AC73" s="89"/>
      <c r="AD73" s="89"/>
      <c r="AE73" s="89"/>
      <c r="AF73" s="89"/>
      <c r="AG73" s="89"/>
      <c r="AH73" s="89"/>
    </row>
    <row r="74" spans="1:34" ht="13.5" thickBot="1">
      <c r="A74" s="127" t="s">
        <v>51</v>
      </c>
      <c r="B74" s="89"/>
      <c r="AH74" s="89"/>
    </row>
    <row r="75" spans="1:34" ht="32.25" customHeight="1" thickBot="1">
      <c r="A75" s="128" t="s">
        <v>50</v>
      </c>
      <c r="B75" s="89"/>
      <c r="D75" s="955" t="s">
        <v>70</v>
      </c>
      <c r="E75" s="956"/>
      <c r="F75" s="956"/>
      <c r="G75" s="956"/>
      <c r="H75" s="956"/>
      <c r="I75" s="956"/>
      <c r="J75" s="956"/>
      <c r="K75" s="956"/>
      <c r="L75" s="956"/>
      <c r="M75" s="956"/>
      <c r="N75" s="956"/>
      <c r="P75" s="965" t="s">
        <v>325</v>
      </c>
      <c r="Q75" s="966"/>
      <c r="R75" s="966"/>
      <c r="S75" s="966"/>
      <c r="T75" s="966"/>
      <c r="U75" s="966"/>
      <c r="V75" s="967"/>
      <c r="Y75" s="965" t="s">
        <v>93</v>
      </c>
      <c r="Z75" s="966"/>
      <c r="AA75" s="966"/>
      <c r="AB75" s="966"/>
      <c r="AC75" s="966"/>
      <c r="AD75" s="966"/>
      <c r="AE75" s="967"/>
      <c r="AH75" s="89"/>
    </row>
    <row r="76" spans="1:34" ht="25.5">
      <c r="B76" s="89"/>
      <c r="D76" s="155" t="s">
        <v>13</v>
      </c>
      <c r="E76" s="224"/>
      <c r="F76" s="237" t="s">
        <v>36</v>
      </c>
      <c r="G76" s="238"/>
      <c r="H76" s="473" t="s">
        <v>37</v>
      </c>
      <c r="I76" s="477"/>
      <c r="J76" s="96"/>
      <c r="N76" s="96"/>
      <c r="O76"/>
      <c r="P76" s="968"/>
      <c r="Q76" s="969"/>
      <c r="R76" s="969"/>
      <c r="S76" s="969"/>
      <c r="T76" s="969"/>
      <c r="U76" s="969"/>
      <c r="V76" s="970"/>
      <c r="Y76" s="968"/>
      <c r="Z76" s="969"/>
      <c r="AA76" s="969"/>
      <c r="AB76" s="969"/>
      <c r="AC76" s="969"/>
      <c r="AD76" s="969"/>
      <c r="AE76" s="970"/>
      <c r="AH76" s="89"/>
    </row>
    <row r="77" spans="1:34" ht="12.75" customHeight="1">
      <c r="B77" s="89"/>
      <c r="D77" s="159">
        <f>VID_2</f>
        <v>0.6</v>
      </c>
      <c r="E77" s="232"/>
      <c r="F77" s="243">
        <f>IF(H77 - I_Step_PS0_IccMAX &gt;= 2, H77 - I_Step_PS0_IccMAX, 2)</f>
        <v>2</v>
      </c>
      <c r="G77" s="17"/>
      <c r="H77" s="457">
        <f>IF(Iccmax_PS1 &gt; IccMax, IccMax, Iccmax_PS1)</f>
        <v>10</v>
      </c>
      <c r="I77" s="462"/>
      <c r="J77" s="96"/>
      <c r="N77" s="96"/>
      <c r="O77"/>
      <c r="P77" s="968"/>
      <c r="Q77" s="969"/>
      <c r="R77" s="969"/>
      <c r="S77" s="969"/>
      <c r="T77" s="969"/>
      <c r="U77" s="969"/>
      <c r="V77" s="970"/>
      <c r="Y77" s="968"/>
      <c r="Z77" s="969"/>
      <c r="AA77" s="969"/>
      <c r="AB77" s="969"/>
      <c r="AC77" s="969"/>
      <c r="AD77" s="969"/>
      <c r="AE77" s="970"/>
      <c r="AH77" s="89"/>
    </row>
    <row r="78" spans="1:34" ht="12.75" customHeight="1">
      <c r="B78" s="89"/>
      <c r="D78" s="294" t="s">
        <v>324</v>
      </c>
      <c r="E78" s="232"/>
      <c r="F78" s="240" t="s">
        <v>196</v>
      </c>
      <c r="G78" s="453" t="s">
        <v>395</v>
      </c>
      <c r="H78" s="450" t="s">
        <v>195</v>
      </c>
      <c r="I78" s="463" t="s">
        <v>396</v>
      </c>
      <c r="J78" s="96"/>
      <c r="N78" s="96"/>
      <c r="O78"/>
      <c r="P78" s="968"/>
      <c r="Q78" s="969"/>
      <c r="R78" s="969"/>
      <c r="S78" s="969"/>
      <c r="T78" s="969"/>
      <c r="U78" s="969"/>
      <c r="V78" s="970"/>
      <c r="Y78" s="968"/>
      <c r="Z78" s="969"/>
      <c r="AA78" s="969"/>
      <c r="AB78" s="969"/>
      <c r="AC78" s="969"/>
      <c r="AD78" s="969"/>
      <c r="AE78" s="970"/>
      <c r="AH78" s="89"/>
    </row>
    <row r="79" spans="1:34" ht="12.75" customHeight="1">
      <c r="B79" s="89"/>
      <c r="D79" s="293">
        <f>dt</f>
        <v>65</v>
      </c>
      <c r="E79" s="232"/>
      <c r="F79" s="314">
        <v>1</v>
      </c>
      <c r="G79" s="480">
        <f>$G$11</f>
        <v>0.5</v>
      </c>
      <c r="H79" s="474">
        <v>1</v>
      </c>
      <c r="I79" s="464" t="s">
        <v>165</v>
      </c>
      <c r="J79" s="246"/>
      <c r="N79" s="96"/>
      <c r="O79"/>
      <c r="P79" s="968"/>
      <c r="Q79" s="969"/>
      <c r="R79" s="969"/>
      <c r="S79" s="969"/>
      <c r="T79" s="969"/>
      <c r="U79" s="969"/>
      <c r="V79" s="970"/>
      <c r="Y79" s="968"/>
      <c r="Z79" s="969"/>
      <c r="AA79" s="969"/>
      <c r="AB79" s="969"/>
      <c r="AC79" s="969"/>
      <c r="AD79" s="969"/>
      <c r="AE79" s="970"/>
      <c r="AH79" s="89"/>
    </row>
    <row r="80" spans="1:34" ht="12.75" customHeight="1">
      <c r="B80" s="89"/>
      <c r="D80" s="161" t="s">
        <v>38</v>
      </c>
      <c r="E80" s="232"/>
      <c r="F80" s="29"/>
      <c r="G80" s="17"/>
      <c r="H80" s="398"/>
      <c r="I80" s="30"/>
      <c r="N80" s="96"/>
      <c r="O80"/>
      <c r="P80" s="968"/>
      <c r="Q80" s="969"/>
      <c r="R80" s="969"/>
      <c r="S80" s="969"/>
      <c r="T80" s="969"/>
      <c r="U80" s="969"/>
      <c r="V80" s="970"/>
      <c r="Y80" s="968"/>
      <c r="Z80" s="969"/>
      <c r="AA80" s="969"/>
      <c r="AB80" s="969"/>
      <c r="AC80" s="969"/>
      <c r="AD80" s="969"/>
      <c r="AE80" s="970"/>
      <c r="AH80" s="89"/>
    </row>
    <row r="81" spans="2:34" ht="16.5" customHeight="1">
      <c r="B81" s="89"/>
      <c r="D81" s="163">
        <f>Duty_Cycle</f>
        <v>0.39102099927588702</v>
      </c>
      <c r="E81" s="235"/>
      <c r="F81" s="284" t="s">
        <v>90</v>
      </c>
      <c r="G81" s="17"/>
      <c r="H81" s="17"/>
      <c r="I81" s="30"/>
      <c r="J81" s="96"/>
      <c r="O81"/>
      <c r="P81" s="968"/>
      <c r="Q81" s="969"/>
      <c r="R81" s="969"/>
      <c r="S81" s="969"/>
      <c r="T81" s="969"/>
      <c r="U81" s="969"/>
      <c r="V81" s="970"/>
      <c r="Y81" s="968"/>
      <c r="Z81" s="969"/>
      <c r="AA81" s="969"/>
      <c r="AB81" s="969"/>
      <c r="AC81" s="969"/>
      <c r="AD81" s="969"/>
      <c r="AE81" s="970"/>
      <c r="AH81" s="89"/>
    </row>
    <row r="82" spans="2:34" ht="15.75" customHeight="1">
      <c r="B82" s="89"/>
      <c r="D82" s="254" t="s">
        <v>134</v>
      </c>
      <c r="E82" s="236"/>
      <c r="F82" s="282">
        <v>0.59230799999999995</v>
      </c>
      <c r="G82" s="17"/>
      <c r="H82" s="17"/>
      <c r="I82" s="30"/>
      <c r="J82" s="96"/>
      <c r="O82"/>
      <c r="P82" s="968"/>
      <c r="Q82" s="969"/>
      <c r="R82" s="969"/>
      <c r="S82" s="969"/>
      <c r="T82" s="969"/>
      <c r="U82" s="969"/>
      <c r="V82" s="970"/>
      <c r="Y82" s="968"/>
      <c r="Z82" s="969"/>
      <c r="AA82" s="969"/>
      <c r="AB82" s="969"/>
      <c r="AC82" s="969"/>
      <c r="AD82" s="969"/>
      <c r="AE82" s="970"/>
      <c r="AH82" s="89"/>
    </row>
    <row r="83" spans="2:34">
      <c r="B83" s="89"/>
      <c r="D83" s="255" t="s">
        <v>135</v>
      </c>
      <c r="E83" s="236"/>
      <c r="F83" s="943" t="s">
        <v>92</v>
      </c>
      <c r="G83" s="17"/>
      <c r="H83" s="17"/>
      <c r="I83" s="30"/>
      <c r="J83" s="96"/>
      <c r="O83" s="151"/>
      <c r="P83" s="968"/>
      <c r="Q83" s="969"/>
      <c r="R83" s="969"/>
      <c r="S83" s="969"/>
      <c r="T83" s="969"/>
      <c r="U83" s="969"/>
      <c r="V83" s="970"/>
      <c r="Y83" s="968"/>
      <c r="Z83" s="969"/>
      <c r="AA83" s="969"/>
      <c r="AB83" s="969"/>
      <c r="AC83" s="969"/>
      <c r="AD83" s="969"/>
      <c r="AE83" s="970"/>
      <c r="AH83" s="89"/>
    </row>
    <row r="84" spans="2:34" ht="12.75" customHeight="1">
      <c r="B84" s="89"/>
      <c r="E84" s="236"/>
      <c r="F84" s="944"/>
      <c r="G84" s="17"/>
      <c r="H84" s="17"/>
      <c r="I84" s="30"/>
      <c r="J84" s="96"/>
      <c r="O84" s="151"/>
      <c r="P84" s="968"/>
      <c r="Q84" s="969"/>
      <c r="R84" s="969"/>
      <c r="S84" s="969"/>
      <c r="T84" s="969"/>
      <c r="U84" s="969"/>
      <c r="V84" s="970"/>
      <c r="Y84" s="968"/>
      <c r="Z84" s="969"/>
      <c r="AA84" s="969"/>
      <c r="AB84" s="969"/>
      <c r="AC84" s="969"/>
      <c r="AD84" s="969"/>
      <c r="AE84" s="970"/>
      <c r="AH84" s="89"/>
    </row>
    <row r="85" spans="2:34" ht="27" customHeight="1">
      <c r="B85" s="89"/>
      <c r="D85" s="96"/>
      <c r="E85" s="158"/>
      <c r="F85" s="945"/>
      <c r="G85" s="17"/>
      <c r="H85" s="17"/>
      <c r="I85" s="30"/>
      <c r="J85" s="96"/>
      <c r="O85" s="151"/>
      <c r="P85" s="968"/>
      <c r="Q85" s="969"/>
      <c r="R85" s="969"/>
      <c r="S85" s="969"/>
      <c r="T85" s="969"/>
      <c r="U85" s="969"/>
      <c r="V85" s="970"/>
      <c r="Y85" s="968"/>
      <c r="Z85" s="969"/>
      <c r="AA85" s="969"/>
      <c r="AB85" s="969"/>
      <c r="AC85" s="969"/>
      <c r="AD85" s="969"/>
      <c r="AE85" s="970"/>
      <c r="AH85" s="89"/>
    </row>
    <row r="86" spans="2:34" ht="17.25" customHeight="1" thickBot="1">
      <c r="B86" s="89"/>
      <c r="D86" s="96"/>
      <c r="E86" s="164"/>
      <c r="F86" s="283">
        <v>0.56988399999999995</v>
      </c>
      <c r="G86" s="110"/>
      <c r="H86" s="110"/>
      <c r="I86" s="111"/>
      <c r="J86" s="96"/>
      <c r="O86" s="117"/>
      <c r="P86" s="968"/>
      <c r="Q86" s="969"/>
      <c r="R86" s="969"/>
      <c r="S86" s="969"/>
      <c r="T86" s="969"/>
      <c r="U86" s="969"/>
      <c r="V86" s="970"/>
      <c r="Y86" s="968"/>
      <c r="Z86" s="969"/>
      <c r="AA86" s="969"/>
      <c r="AB86" s="969"/>
      <c r="AC86" s="969"/>
      <c r="AD86" s="969"/>
      <c r="AE86" s="970"/>
      <c r="AH86" s="89"/>
    </row>
    <row r="87" spans="2:34" ht="18.75" customHeight="1" thickBot="1">
      <c r="B87" s="89"/>
      <c r="P87" s="968"/>
      <c r="Q87" s="969"/>
      <c r="R87" s="969"/>
      <c r="S87" s="969"/>
      <c r="T87" s="969"/>
      <c r="U87" s="969"/>
      <c r="V87" s="970"/>
      <c r="Y87" s="968"/>
      <c r="Z87" s="969"/>
      <c r="AA87" s="969"/>
      <c r="AB87" s="969"/>
      <c r="AC87" s="969"/>
      <c r="AD87" s="969"/>
      <c r="AE87" s="970"/>
      <c r="AH87" s="89"/>
    </row>
    <row r="88" spans="2:34" ht="26.25" customHeight="1">
      <c r="B88" s="89"/>
      <c r="E88" s="898" t="s">
        <v>71</v>
      </c>
      <c r="F88" s="899"/>
      <c r="G88" s="899"/>
      <c r="H88" s="899"/>
      <c r="I88" s="900"/>
      <c r="K88" s="946" t="s">
        <v>40</v>
      </c>
      <c r="L88" s="947"/>
      <c r="M88" s="947"/>
      <c r="N88" s="948"/>
      <c r="O88" s="23"/>
      <c r="P88" s="968"/>
      <c r="Q88" s="969"/>
      <c r="R88" s="969"/>
      <c r="S88" s="969"/>
      <c r="T88" s="969"/>
      <c r="U88" s="969"/>
      <c r="V88" s="970"/>
      <c r="Y88" s="968"/>
      <c r="Z88" s="969"/>
      <c r="AA88" s="969"/>
      <c r="AB88" s="969"/>
      <c r="AC88" s="969"/>
      <c r="AD88" s="969"/>
      <c r="AE88" s="970"/>
      <c r="AH88" s="89"/>
    </row>
    <row r="89" spans="2:34" ht="12.75" customHeight="1">
      <c r="B89" s="89"/>
      <c r="E89" s="871" t="s">
        <v>228</v>
      </c>
      <c r="F89" s="931"/>
      <c r="G89" s="931"/>
      <c r="H89" s="872"/>
      <c r="I89" s="149">
        <f>(F82-F86)/(H77-F77)*1000</f>
        <v>2.8029999999999999</v>
      </c>
      <c r="K89" s="873" t="s">
        <v>230</v>
      </c>
      <c r="L89" s="872"/>
      <c r="M89" s="874"/>
      <c r="N89" s="148">
        <f>R_AC_LL_max_PS1</f>
        <v>3.3000000000000029</v>
      </c>
      <c r="O89" s="23"/>
      <c r="P89" s="968"/>
      <c r="Q89" s="969"/>
      <c r="R89" s="969"/>
      <c r="S89" s="969"/>
      <c r="T89" s="969"/>
      <c r="U89" s="969"/>
      <c r="V89" s="970"/>
      <c r="Y89" s="968"/>
      <c r="Z89" s="969"/>
      <c r="AA89" s="969"/>
      <c r="AB89" s="969"/>
      <c r="AC89" s="969"/>
      <c r="AD89" s="969"/>
      <c r="AE89" s="970"/>
      <c r="AH89" s="89"/>
    </row>
    <row r="90" spans="2:34" ht="12.75" customHeight="1" thickBot="1">
      <c r="B90" s="89"/>
      <c r="E90" s="953"/>
      <c r="F90" s="954"/>
      <c r="G90" s="222"/>
      <c r="H90" s="63"/>
      <c r="I90" s="86"/>
      <c r="K90" s="879"/>
      <c r="L90" s="949"/>
      <c r="M90" s="880"/>
      <c r="N90" s="64"/>
      <c r="O90" s="23"/>
      <c r="P90" s="968"/>
      <c r="Q90" s="969"/>
      <c r="R90" s="969"/>
      <c r="S90" s="969"/>
      <c r="T90" s="969"/>
      <c r="U90" s="969"/>
      <c r="V90" s="970"/>
      <c r="Y90" s="968"/>
      <c r="Z90" s="969"/>
      <c r="AA90" s="969"/>
      <c r="AB90" s="969"/>
      <c r="AC90" s="969"/>
      <c r="AD90" s="969"/>
      <c r="AE90" s="970"/>
      <c r="AH90" s="89"/>
    </row>
    <row r="91" spans="2:34" ht="12.75" customHeight="1">
      <c r="B91" s="89"/>
      <c r="H91"/>
      <c r="O91" s="23"/>
      <c r="P91" s="968"/>
      <c r="Q91" s="969"/>
      <c r="R91" s="969"/>
      <c r="S91" s="969"/>
      <c r="T91" s="969"/>
      <c r="U91" s="969"/>
      <c r="V91" s="970"/>
      <c r="Y91" s="968"/>
      <c r="Z91" s="969"/>
      <c r="AA91" s="969"/>
      <c r="AB91" s="969"/>
      <c r="AC91" s="969"/>
      <c r="AD91" s="969"/>
      <c r="AE91" s="970"/>
      <c r="AH91" s="89"/>
    </row>
    <row r="92" spans="2:34" ht="13.5" customHeight="1">
      <c r="B92" s="89"/>
      <c r="H92"/>
      <c r="O92" s="23"/>
      <c r="P92" s="968"/>
      <c r="Q92" s="969"/>
      <c r="R92" s="969"/>
      <c r="S92" s="969"/>
      <c r="T92" s="969"/>
      <c r="U92" s="969"/>
      <c r="V92" s="970"/>
      <c r="Y92" s="968"/>
      <c r="Z92" s="969"/>
      <c r="AA92" s="969"/>
      <c r="AB92" s="969"/>
      <c r="AC92" s="969"/>
      <c r="AD92" s="969"/>
      <c r="AE92" s="970"/>
      <c r="AH92" s="89"/>
    </row>
    <row r="93" spans="2:34" ht="13.5" customHeight="1">
      <c r="B93" s="89"/>
      <c r="H93"/>
      <c r="O93" s="23"/>
      <c r="P93" s="968"/>
      <c r="Q93" s="969"/>
      <c r="R93" s="969"/>
      <c r="S93" s="969"/>
      <c r="T93" s="969"/>
      <c r="U93" s="969"/>
      <c r="V93" s="970"/>
      <c r="Y93" s="968"/>
      <c r="Z93" s="969"/>
      <c r="AA93" s="969"/>
      <c r="AB93" s="969"/>
      <c r="AC93" s="969"/>
      <c r="AD93" s="969"/>
      <c r="AE93" s="970"/>
      <c r="AH93" s="89"/>
    </row>
    <row r="94" spans="2:34" ht="13.5" customHeight="1" thickBot="1">
      <c r="B94" s="89"/>
      <c r="O94" s="23"/>
      <c r="P94" s="971"/>
      <c r="Q94" s="972"/>
      <c r="R94" s="972"/>
      <c r="S94" s="972"/>
      <c r="T94" s="972"/>
      <c r="U94" s="972"/>
      <c r="V94" s="973"/>
      <c r="Y94" s="971"/>
      <c r="Z94" s="972"/>
      <c r="AA94" s="972"/>
      <c r="AB94" s="972"/>
      <c r="AC94" s="972"/>
      <c r="AD94" s="972"/>
      <c r="AE94" s="973"/>
      <c r="AH94" s="89"/>
    </row>
    <row r="95" spans="2:34" ht="15.75">
      <c r="B95" s="89"/>
      <c r="D95" s="24"/>
      <c r="E95" s="24"/>
      <c r="F95" s="85"/>
      <c r="G95" s="85"/>
      <c r="H95" s="87"/>
      <c r="J95" s="24"/>
      <c r="K95" s="24"/>
      <c r="L95" s="24"/>
      <c r="M95" s="23"/>
      <c r="N95" s="23"/>
      <c r="O95" s="23"/>
      <c r="P95" s="73"/>
      <c r="Q95" s="73"/>
      <c r="R95" s="73"/>
      <c r="S95" s="73"/>
      <c r="T95" s="73"/>
      <c r="U95" s="73"/>
      <c r="V95" s="73"/>
      <c r="Y95" s="73"/>
      <c r="Z95" s="73"/>
      <c r="AA95" s="73"/>
      <c r="AB95" s="73"/>
      <c r="AC95" s="73"/>
      <c r="AD95" s="73"/>
      <c r="AE95" s="73"/>
      <c r="AH95" s="89"/>
    </row>
    <row r="96" spans="2:34">
      <c r="B96" s="89"/>
      <c r="D96" s="884" t="s">
        <v>229</v>
      </c>
      <c r="E96" s="884"/>
      <c r="F96" s="884"/>
      <c r="G96" s="884"/>
      <c r="H96" s="884"/>
      <c r="I96" s="884"/>
      <c r="J96" s="884"/>
      <c r="K96" s="895"/>
      <c r="L96" s="220"/>
      <c r="M96" s="153" t="s">
        <v>51</v>
      </c>
      <c r="N96" s="122"/>
      <c r="O96" s="23"/>
      <c r="P96" s="958" t="s">
        <v>85</v>
      </c>
      <c r="Q96" s="958"/>
      <c r="R96" s="958"/>
      <c r="S96" s="958"/>
      <c r="T96" s="958"/>
      <c r="U96" s="958"/>
      <c r="V96" s="958"/>
      <c r="W96" s="96"/>
      <c r="X96" s="96"/>
      <c r="Y96" s="958" t="s">
        <v>52</v>
      </c>
      <c r="Z96" s="958"/>
      <c r="AA96" s="958"/>
      <c r="AB96" s="958"/>
      <c r="AC96" s="958"/>
      <c r="AD96" s="958"/>
      <c r="AE96" s="958"/>
      <c r="AF96" s="96"/>
      <c r="AG96" s="96"/>
      <c r="AH96" s="89"/>
    </row>
    <row r="97" spans="1:34">
      <c r="B97" s="89"/>
      <c r="H97"/>
      <c r="N97" s="122"/>
      <c r="O97" s="23"/>
      <c r="P97" s="958"/>
      <c r="Q97" s="958"/>
      <c r="R97" s="958"/>
      <c r="S97" s="958"/>
      <c r="T97" s="958"/>
      <c r="U97" s="958"/>
      <c r="V97" s="958"/>
      <c r="W97" s="154" t="s">
        <v>51</v>
      </c>
      <c r="Y97" s="958"/>
      <c r="Z97" s="958"/>
      <c r="AA97" s="958"/>
      <c r="AB97" s="958"/>
      <c r="AC97" s="958"/>
      <c r="AD97" s="958"/>
      <c r="AE97" s="958"/>
      <c r="AF97" s="154" t="s">
        <v>51</v>
      </c>
      <c r="AG97" s="97"/>
      <c r="AH97" s="89"/>
    </row>
    <row r="98" spans="1:34">
      <c r="B98" s="89"/>
      <c r="H98"/>
      <c r="N98" s="122"/>
      <c r="P98" s="66"/>
      <c r="Q98" s="66"/>
      <c r="R98" s="66"/>
      <c r="S98" s="66"/>
      <c r="T98" s="66"/>
      <c r="U98" s="66"/>
      <c r="V98" s="66"/>
      <c r="Y98" s="66"/>
      <c r="Z98" s="66"/>
      <c r="AA98" s="66"/>
      <c r="AB98" s="66"/>
      <c r="AC98" s="66"/>
      <c r="AD98" s="66"/>
      <c r="AE98" s="66"/>
      <c r="AH98" s="89"/>
    </row>
    <row r="99" spans="1:34">
      <c r="B99" s="89"/>
      <c r="P99" s="66"/>
      <c r="Q99" s="66"/>
      <c r="R99" s="66"/>
      <c r="S99" s="66"/>
      <c r="T99" s="66"/>
      <c r="U99" s="66"/>
      <c r="V99" s="66"/>
      <c r="Y99" s="66"/>
      <c r="Z99" s="66"/>
      <c r="AA99" s="66"/>
      <c r="AB99" s="66"/>
      <c r="AC99" s="66"/>
      <c r="AD99" s="66"/>
      <c r="AE99" s="66"/>
      <c r="AH99" s="89"/>
    </row>
    <row r="100" spans="1:34" ht="12.75" customHeight="1">
      <c r="B100" s="89"/>
      <c r="C100" s="89"/>
      <c r="D100" s="89"/>
      <c r="E100" s="89"/>
      <c r="F100" s="89"/>
      <c r="G100" s="89"/>
      <c r="H100" s="95"/>
      <c r="I100" s="89"/>
      <c r="J100" s="89"/>
      <c r="K100" s="89"/>
      <c r="L100" s="89"/>
      <c r="M100" s="89"/>
      <c r="N100" s="89"/>
      <c r="O100" s="89"/>
      <c r="P100" s="93"/>
      <c r="Q100" s="93"/>
      <c r="R100" s="93"/>
      <c r="S100" s="93"/>
      <c r="T100" s="93"/>
      <c r="U100" s="93"/>
      <c r="V100" s="93"/>
      <c r="W100" s="89"/>
      <c r="X100" s="89"/>
      <c r="Y100" s="89"/>
      <c r="Z100" s="89"/>
      <c r="AA100" s="89"/>
      <c r="AB100" s="89"/>
      <c r="AC100" s="89"/>
      <c r="AD100" s="89"/>
      <c r="AE100" s="89"/>
      <c r="AF100" s="89"/>
      <c r="AG100" s="89"/>
      <c r="AH100" s="89"/>
    </row>
    <row r="102" spans="1:34">
      <c r="A102" s="126" t="s">
        <v>58</v>
      </c>
      <c r="B102" s="89"/>
      <c r="C102" s="89"/>
      <c r="D102" s="90"/>
      <c r="E102" s="91"/>
      <c r="F102" s="91"/>
      <c r="G102" s="91"/>
      <c r="H102" s="92"/>
      <c r="I102" s="91"/>
      <c r="J102" s="91"/>
      <c r="K102" s="93"/>
      <c r="L102" s="93"/>
      <c r="M102" s="94"/>
      <c r="N102" s="94"/>
      <c r="O102" s="93"/>
      <c r="P102" s="89"/>
      <c r="Q102" s="89"/>
      <c r="R102" s="89"/>
      <c r="S102" s="89"/>
      <c r="T102" s="89"/>
      <c r="U102" s="89"/>
      <c r="V102" s="89"/>
      <c r="W102" s="93"/>
      <c r="X102" s="93"/>
      <c r="Y102" s="93"/>
      <c r="Z102" s="89"/>
      <c r="AA102" s="89"/>
      <c r="AB102" s="89"/>
      <c r="AC102" s="89"/>
      <c r="AD102" s="89"/>
      <c r="AE102" s="89"/>
      <c r="AF102" s="89"/>
      <c r="AG102" s="89"/>
      <c r="AH102" s="89"/>
    </row>
    <row r="103" spans="1:34" ht="13.5" thickBot="1">
      <c r="A103" s="127" t="s">
        <v>51</v>
      </c>
      <c r="B103" s="89"/>
      <c r="AH103" s="89"/>
    </row>
    <row r="104" spans="1:34" ht="32.25" customHeight="1" thickBot="1">
      <c r="A104" s="128" t="s">
        <v>50</v>
      </c>
      <c r="B104" s="89"/>
      <c r="D104" s="955" t="s">
        <v>184</v>
      </c>
      <c r="E104" s="956"/>
      <c r="F104" s="956"/>
      <c r="G104" s="956"/>
      <c r="H104" s="956"/>
      <c r="I104" s="956"/>
      <c r="J104" s="956"/>
      <c r="K104" s="956"/>
      <c r="L104" s="956"/>
      <c r="M104" s="956"/>
      <c r="N104" s="956"/>
      <c r="P104" s="965" t="s">
        <v>325</v>
      </c>
      <c r="Q104" s="966"/>
      <c r="R104" s="966"/>
      <c r="S104" s="966"/>
      <c r="T104" s="966"/>
      <c r="U104" s="966"/>
      <c r="V104" s="967"/>
      <c r="Y104" s="965" t="s">
        <v>93</v>
      </c>
      <c r="Z104" s="966"/>
      <c r="AA104" s="966"/>
      <c r="AB104" s="966"/>
      <c r="AC104" s="966"/>
      <c r="AD104" s="966"/>
      <c r="AE104" s="967"/>
      <c r="AH104" s="89"/>
    </row>
    <row r="105" spans="1:34" ht="25.5">
      <c r="B105" s="89"/>
      <c r="D105" s="155" t="s">
        <v>13</v>
      </c>
      <c r="E105" s="224"/>
      <c r="F105" s="237" t="s">
        <v>36</v>
      </c>
      <c r="G105" s="238"/>
      <c r="H105" s="483" t="s">
        <v>37</v>
      </c>
      <c r="I105" s="461"/>
      <c r="J105" s="96"/>
      <c r="N105" s="96"/>
      <c r="O105"/>
      <c r="P105" s="968"/>
      <c r="Q105" s="969"/>
      <c r="R105" s="969"/>
      <c r="S105" s="969"/>
      <c r="T105" s="969"/>
      <c r="U105" s="969"/>
      <c r="V105" s="970"/>
      <c r="Y105" s="968"/>
      <c r="Z105" s="969"/>
      <c r="AA105" s="969"/>
      <c r="AB105" s="969"/>
      <c r="AC105" s="969"/>
      <c r="AD105" s="969"/>
      <c r="AE105" s="970"/>
      <c r="AH105" s="89"/>
    </row>
    <row r="106" spans="1:34" ht="12.75" customHeight="1">
      <c r="B106" s="89"/>
      <c r="D106" s="159">
        <f>VID_2</f>
        <v>0.6</v>
      </c>
      <c r="E106" s="232"/>
      <c r="F106" s="243">
        <v>2</v>
      </c>
      <c r="G106" s="17"/>
      <c r="H106" s="449">
        <f>IccMax_PS2</f>
        <v>3</v>
      </c>
      <c r="I106" s="481"/>
      <c r="J106" s="96"/>
      <c r="N106" s="96"/>
      <c r="O106"/>
      <c r="P106" s="968"/>
      <c r="Q106" s="969"/>
      <c r="R106" s="969"/>
      <c r="S106" s="969"/>
      <c r="T106" s="969"/>
      <c r="U106" s="969"/>
      <c r="V106" s="970"/>
      <c r="Y106" s="968"/>
      <c r="Z106" s="969"/>
      <c r="AA106" s="969"/>
      <c r="AB106" s="969"/>
      <c r="AC106" s="969"/>
      <c r="AD106" s="969"/>
      <c r="AE106" s="970"/>
      <c r="AH106" s="89"/>
    </row>
    <row r="107" spans="1:34" ht="12.75" customHeight="1">
      <c r="B107" s="89"/>
      <c r="D107" s="294" t="s">
        <v>324</v>
      </c>
      <c r="E107" s="232"/>
      <c r="F107" s="459" t="s">
        <v>196</v>
      </c>
      <c r="G107" s="450" t="s">
        <v>395</v>
      </c>
      <c r="H107" s="458" t="s">
        <v>195</v>
      </c>
      <c r="I107" s="241" t="s">
        <v>396</v>
      </c>
      <c r="J107" s="96"/>
      <c r="N107" s="96"/>
      <c r="O107"/>
      <c r="P107" s="968"/>
      <c r="Q107" s="969"/>
      <c r="R107" s="969"/>
      <c r="S107" s="969"/>
      <c r="T107" s="969"/>
      <c r="U107" s="969"/>
      <c r="V107" s="970"/>
      <c r="Y107" s="968"/>
      <c r="Z107" s="969"/>
      <c r="AA107" s="969"/>
      <c r="AB107" s="969"/>
      <c r="AC107" s="969"/>
      <c r="AD107" s="969"/>
      <c r="AE107" s="970"/>
      <c r="AH107" s="89"/>
    </row>
    <row r="108" spans="1:34" ht="12.75" customHeight="1">
      <c r="B108" s="89"/>
      <c r="D108" s="293">
        <f>dt</f>
        <v>65</v>
      </c>
      <c r="E108" s="232"/>
      <c r="F108" s="451">
        <v>2</v>
      </c>
      <c r="G108" s="471">
        <f>$G$11</f>
        <v>0.5</v>
      </c>
      <c r="H108" s="452">
        <v>2</v>
      </c>
      <c r="I108" s="464" t="s">
        <v>165</v>
      </c>
      <c r="J108" s="246"/>
      <c r="N108" s="96"/>
      <c r="O108"/>
      <c r="P108" s="968"/>
      <c r="Q108" s="969"/>
      <c r="R108" s="969"/>
      <c r="S108" s="969"/>
      <c r="T108" s="969"/>
      <c r="U108" s="969"/>
      <c r="V108" s="970"/>
      <c r="Y108" s="968"/>
      <c r="Z108" s="969"/>
      <c r="AA108" s="969"/>
      <c r="AB108" s="969"/>
      <c r="AC108" s="969"/>
      <c r="AD108" s="969"/>
      <c r="AE108" s="970"/>
      <c r="AH108" s="89"/>
    </row>
    <row r="109" spans="1:34" ht="12.75" customHeight="1">
      <c r="B109" s="89"/>
      <c r="D109" s="161" t="s">
        <v>38</v>
      </c>
      <c r="E109" s="232"/>
      <c r="F109" s="29"/>
      <c r="G109" s="17"/>
      <c r="H109" s="17"/>
      <c r="I109" s="482"/>
      <c r="N109" s="96"/>
      <c r="O109"/>
      <c r="P109" s="968"/>
      <c r="Q109" s="969"/>
      <c r="R109" s="969"/>
      <c r="S109" s="969"/>
      <c r="T109" s="969"/>
      <c r="U109" s="969"/>
      <c r="V109" s="970"/>
      <c r="Y109" s="968"/>
      <c r="Z109" s="969"/>
      <c r="AA109" s="969"/>
      <c r="AB109" s="969"/>
      <c r="AC109" s="969"/>
      <c r="AD109" s="969"/>
      <c r="AE109" s="970"/>
      <c r="AH109" s="89"/>
    </row>
    <row r="110" spans="1:34" ht="16.5" customHeight="1">
      <c r="B110" s="89"/>
      <c r="D110" s="163">
        <v>0.5</v>
      </c>
      <c r="E110" s="235"/>
      <c r="F110" s="284" t="s">
        <v>90</v>
      </c>
      <c r="G110" s="17"/>
      <c r="H110" s="17"/>
      <c r="I110" s="30"/>
      <c r="J110" s="96"/>
      <c r="O110"/>
      <c r="P110" s="968"/>
      <c r="Q110" s="969"/>
      <c r="R110" s="969"/>
      <c r="S110" s="969"/>
      <c r="T110" s="969"/>
      <c r="U110" s="969"/>
      <c r="V110" s="970"/>
      <c r="Y110" s="968"/>
      <c r="Z110" s="969"/>
      <c r="AA110" s="969"/>
      <c r="AB110" s="969"/>
      <c r="AC110" s="969"/>
      <c r="AD110" s="969"/>
      <c r="AE110" s="970"/>
      <c r="AH110" s="89"/>
    </row>
    <row r="111" spans="1:34" ht="15.75" customHeight="1">
      <c r="B111" s="89"/>
      <c r="D111" s="254" t="s">
        <v>134</v>
      </c>
      <c r="E111" s="236"/>
      <c r="F111" s="282">
        <v>0.59208400000000005</v>
      </c>
      <c r="G111" s="17"/>
      <c r="H111" s="17"/>
      <c r="I111" s="30"/>
      <c r="J111" s="96"/>
      <c r="O111"/>
      <c r="P111" s="968"/>
      <c r="Q111" s="969"/>
      <c r="R111" s="969"/>
      <c r="S111" s="969"/>
      <c r="T111" s="969"/>
      <c r="U111" s="969"/>
      <c r="V111" s="970"/>
      <c r="Y111" s="968"/>
      <c r="Z111" s="969"/>
      <c r="AA111" s="969"/>
      <c r="AB111" s="969"/>
      <c r="AC111" s="969"/>
      <c r="AD111" s="969"/>
      <c r="AE111" s="970"/>
      <c r="AH111" s="89"/>
    </row>
    <row r="112" spans="1:34">
      <c r="B112" s="89"/>
      <c r="D112" s="255" t="s">
        <v>135</v>
      </c>
      <c r="E112" s="236"/>
      <c r="F112" s="943" t="s">
        <v>92</v>
      </c>
      <c r="G112" s="17"/>
      <c r="H112" s="17"/>
      <c r="I112" s="30"/>
      <c r="J112" s="96"/>
      <c r="O112" s="151"/>
      <c r="P112" s="968"/>
      <c r="Q112" s="969"/>
      <c r="R112" s="969"/>
      <c r="S112" s="969"/>
      <c r="T112" s="969"/>
      <c r="U112" s="969"/>
      <c r="V112" s="970"/>
      <c r="Y112" s="968"/>
      <c r="Z112" s="969"/>
      <c r="AA112" s="969"/>
      <c r="AB112" s="969"/>
      <c r="AC112" s="969"/>
      <c r="AD112" s="969"/>
      <c r="AE112" s="970"/>
      <c r="AH112" s="89"/>
    </row>
    <row r="113" spans="2:34" ht="12.75" customHeight="1">
      <c r="B113" s="89"/>
      <c r="E113" s="236"/>
      <c r="F113" s="944"/>
      <c r="G113" s="17"/>
      <c r="H113" s="17"/>
      <c r="I113" s="30"/>
      <c r="J113" s="96"/>
      <c r="O113" s="151"/>
      <c r="P113" s="968"/>
      <c r="Q113" s="969"/>
      <c r="R113" s="969"/>
      <c r="S113" s="969"/>
      <c r="T113" s="969"/>
      <c r="U113" s="969"/>
      <c r="V113" s="970"/>
      <c r="Y113" s="968"/>
      <c r="Z113" s="969"/>
      <c r="AA113" s="969"/>
      <c r="AB113" s="969"/>
      <c r="AC113" s="969"/>
      <c r="AD113" s="969"/>
      <c r="AE113" s="970"/>
      <c r="AH113" s="89"/>
    </row>
    <row r="114" spans="2:34" ht="27" customHeight="1">
      <c r="B114" s="89"/>
      <c r="D114" s="96"/>
      <c r="E114" s="158"/>
      <c r="F114" s="945"/>
      <c r="G114" s="17"/>
      <c r="H114" s="17"/>
      <c r="I114" s="30"/>
      <c r="J114" s="96"/>
      <c r="O114" s="151"/>
      <c r="P114" s="968"/>
      <c r="Q114" s="969"/>
      <c r="R114" s="969"/>
      <c r="S114" s="969"/>
      <c r="T114" s="969"/>
      <c r="U114" s="969"/>
      <c r="V114" s="970"/>
      <c r="Y114" s="968"/>
      <c r="Z114" s="969"/>
      <c r="AA114" s="969"/>
      <c r="AB114" s="969"/>
      <c r="AC114" s="969"/>
      <c r="AD114" s="969"/>
      <c r="AE114" s="970"/>
      <c r="AH114" s="89"/>
    </row>
    <row r="115" spans="2:34" ht="17.25" customHeight="1" thickBot="1">
      <c r="B115" s="89"/>
      <c r="D115" s="96"/>
      <c r="E115" s="164"/>
      <c r="F115" s="283">
        <v>0.58588399999999996</v>
      </c>
      <c r="G115" s="110"/>
      <c r="H115" s="110"/>
      <c r="I115" s="111"/>
      <c r="J115" s="96"/>
      <c r="O115" s="117"/>
      <c r="P115" s="968"/>
      <c r="Q115" s="969"/>
      <c r="R115" s="969"/>
      <c r="S115" s="969"/>
      <c r="T115" s="969"/>
      <c r="U115" s="969"/>
      <c r="V115" s="970"/>
      <c r="Y115" s="968"/>
      <c r="Z115" s="969"/>
      <c r="AA115" s="969"/>
      <c r="AB115" s="969"/>
      <c r="AC115" s="969"/>
      <c r="AD115" s="969"/>
      <c r="AE115" s="970"/>
      <c r="AH115" s="89"/>
    </row>
    <row r="116" spans="2:34" ht="18.75" customHeight="1" thickBot="1">
      <c r="B116" s="89"/>
      <c r="P116" s="968"/>
      <c r="Q116" s="969"/>
      <c r="R116" s="969"/>
      <c r="S116" s="969"/>
      <c r="T116" s="969"/>
      <c r="U116" s="969"/>
      <c r="V116" s="970"/>
      <c r="Y116" s="968"/>
      <c r="Z116" s="969"/>
      <c r="AA116" s="969"/>
      <c r="AB116" s="969"/>
      <c r="AC116" s="969"/>
      <c r="AD116" s="969"/>
      <c r="AE116" s="970"/>
      <c r="AH116" s="89"/>
    </row>
    <row r="117" spans="2:34" ht="26.25" customHeight="1">
      <c r="B117" s="89"/>
      <c r="E117" s="898" t="s">
        <v>71</v>
      </c>
      <c r="F117" s="899"/>
      <c r="G117" s="899"/>
      <c r="H117" s="899"/>
      <c r="I117" s="900"/>
      <c r="K117" s="946" t="s">
        <v>40</v>
      </c>
      <c r="L117" s="947"/>
      <c r="M117" s="947"/>
      <c r="N117" s="948"/>
      <c r="O117" s="23"/>
      <c r="P117" s="968"/>
      <c r="Q117" s="969"/>
      <c r="R117" s="969"/>
      <c r="S117" s="969"/>
      <c r="T117" s="969"/>
      <c r="U117" s="969"/>
      <c r="V117" s="970"/>
      <c r="Y117" s="968"/>
      <c r="Z117" s="969"/>
      <c r="AA117" s="969"/>
      <c r="AB117" s="969"/>
      <c r="AC117" s="969"/>
      <c r="AD117" s="969"/>
      <c r="AE117" s="970"/>
      <c r="AH117" s="89"/>
    </row>
    <row r="118" spans="2:34" ht="12.75" customHeight="1">
      <c r="B118" s="89"/>
      <c r="E118" s="871" t="s">
        <v>228</v>
      </c>
      <c r="F118" s="931"/>
      <c r="G118" s="931"/>
      <c r="H118" s="872"/>
      <c r="I118" s="149">
        <f>(F111-F115)/(H106-F106)*1000</f>
        <v>6.2000000000000943</v>
      </c>
      <c r="K118" s="873" t="s">
        <v>232</v>
      </c>
      <c r="L118" s="872"/>
      <c r="M118" s="874"/>
      <c r="N118" s="148">
        <f>R_AC_LL_max_PS2</f>
        <v>6.7999999999999909</v>
      </c>
      <c r="O118" s="23"/>
      <c r="P118" s="968"/>
      <c r="Q118" s="969"/>
      <c r="R118" s="969"/>
      <c r="S118" s="969"/>
      <c r="T118" s="969"/>
      <c r="U118" s="969"/>
      <c r="V118" s="970"/>
      <c r="Y118" s="968"/>
      <c r="Z118" s="969"/>
      <c r="AA118" s="969"/>
      <c r="AB118" s="969"/>
      <c r="AC118" s="969"/>
      <c r="AD118" s="969"/>
      <c r="AE118" s="970"/>
      <c r="AH118" s="89"/>
    </row>
    <row r="119" spans="2:34" ht="12.75" customHeight="1" thickBot="1">
      <c r="B119" s="89"/>
      <c r="E119" s="953"/>
      <c r="F119" s="954"/>
      <c r="G119" s="222"/>
      <c r="H119" s="63"/>
      <c r="I119" s="86"/>
      <c r="K119" s="879"/>
      <c r="L119" s="949"/>
      <c r="M119" s="880"/>
      <c r="N119" s="64"/>
      <c r="O119" s="23"/>
      <c r="P119" s="968"/>
      <c r="Q119" s="969"/>
      <c r="R119" s="969"/>
      <c r="S119" s="969"/>
      <c r="T119" s="969"/>
      <c r="U119" s="969"/>
      <c r="V119" s="970"/>
      <c r="Y119" s="968"/>
      <c r="Z119" s="969"/>
      <c r="AA119" s="969"/>
      <c r="AB119" s="969"/>
      <c r="AC119" s="969"/>
      <c r="AD119" s="969"/>
      <c r="AE119" s="970"/>
      <c r="AH119" s="89"/>
    </row>
    <row r="120" spans="2:34" ht="12.75" customHeight="1">
      <c r="B120" s="89"/>
      <c r="H120"/>
      <c r="O120" s="23"/>
      <c r="P120" s="968"/>
      <c r="Q120" s="969"/>
      <c r="R120" s="969"/>
      <c r="S120" s="969"/>
      <c r="T120" s="969"/>
      <c r="U120" s="969"/>
      <c r="V120" s="970"/>
      <c r="Y120" s="968"/>
      <c r="Z120" s="969"/>
      <c r="AA120" s="969"/>
      <c r="AB120" s="969"/>
      <c r="AC120" s="969"/>
      <c r="AD120" s="969"/>
      <c r="AE120" s="970"/>
      <c r="AH120" s="89"/>
    </row>
    <row r="121" spans="2:34" ht="13.5" customHeight="1">
      <c r="B121" s="89"/>
      <c r="H121"/>
      <c r="O121" s="23"/>
      <c r="P121" s="968"/>
      <c r="Q121" s="969"/>
      <c r="R121" s="969"/>
      <c r="S121" s="969"/>
      <c r="T121" s="969"/>
      <c r="U121" s="969"/>
      <c r="V121" s="970"/>
      <c r="Y121" s="968"/>
      <c r="Z121" s="969"/>
      <c r="AA121" s="969"/>
      <c r="AB121" s="969"/>
      <c r="AC121" s="969"/>
      <c r="AD121" s="969"/>
      <c r="AE121" s="970"/>
      <c r="AH121" s="89"/>
    </row>
    <row r="122" spans="2:34" ht="13.5" customHeight="1">
      <c r="B122" s="89"/>
      <c r="H122"/>
      <c r="O122" s="23"/>
      <c r="P122" s="968"/>
      <c r="Q122" s="969"/>
      <c r="R122" s="969"/>
      <c r="S122" s="969"/>
      <c r="T122" s="969"/>
      <c r="U122" s="969"/>
      <c r="V122" s="970"/>
      <c r="Y122" s="968"/>
      <c r="Z122" s="969"/>
      <c r="AA122" s="969"/>
      <c r="AB122" s="969"/>
      <c r="AC122" s="969"/>
      <c r="AD122" s="969"/>
      <c r="AE122" s="970"/>
      <c r="AH122" s="89"/>
    </row>
    <row r="123" spans="2:34" ht="13.5" customHeight="1" thickBot="1">
      <c r="B123" s="89"/>
      <c r="O123" s="23"/>
      <c r="P123" s="971"/>
      <c r="Q123" s="972"/>
      <c r="R123" s="972"/>
      <c r="S123" s="972"/>
      <c r="T123" s="972"/>
      <c r="U123" s="972"/>
      <c r="V123" s="973"/>
      <c r="Y123" s="971"/>
      <c r="Z123" s="972"/>
      <c r="AA123" s="972"/>
      <c r="AB123" s="972"/>
      <c r="AC123" s="972"/>
      <c r="AD123" s="972"/>
      <c r="AE123" s="973"/>
      <c r="AH123" s="89"/>
    </row>
    <row r="124" spans="2:34" ht="15.75">
      <c r="B124" s="89"/>
      <c r="D124" s="24"/>
      <c r="E124" s="24"/>
      <c r="F124" s="85"/>
      <c r="G124" s="85"/>
      <c r="H124" s="87"/>
      <c r="J124" s="24"/>
      <c r="K124" s="24"/>
      <c r="L124" s="24"/>
      <c r="M124" s="23"/>
      <c r="N124" s="23"/>
      <c r="O124" s="23"/>
      <c r="P124" s="73"/>
      <c r="Q124" s="73"/>
      <c r="R124" s="73"/>
      <c r="S124" s="73"/>
      <c r="T124" s="73"/>
      <c r="U124" s="73"/>
      <c r="V124" s="73"/>
      <c r="Y124" s="73"/>
      <c r="Z124" s="73"/>
      <c r="AA124" s="73"/>
      <c r="AB124" s="73"/>
      <c r="AC124" s="73"/>
      <c r="AD124" s="73"/>
      <c r="AE124" s="73"/>
      <c r="AH124" s="89"/>
    </row>
    <row r="125" spans="2:34">
      <c r="B125" s="89"/>
      <c r="D125" s="884" t="s">
        <v>229</v>
      </c>
      <c r="E125" s="884"/>
      <c r="F125" s="884"/>
      <c r="G125" s="884"/>
      <c r="H125" s="884"/>
      <c r="I125" s="884"/>
      <c r="J125" s="884"/>
      <c r="K125" s="895"/>
      <c r="L125" s="220"/>
      <c r="M125" s="153" t="s">
        <v>51</v>
      </c>
      <c r="N125" s="122"/>
      <c r="O125" s="23"/>
      <c r="P125" s="958" t="s">
        <v>85</v>
      </c>
      <c r="Q125" s="958"/>
      <c r="R125" s="958"/>
      <c r="S125" s="958"/>
      <c r="T125" s="958"/>
      <c r="U125" s="958"/>
      <c r="V125" s="958"/>
      <c r="W125" s="96"/>
      <c r="X125" s="96"/>
      <c r="Y125" s="958" t="s">
        <v>52</v>
      </c>
      <c r="Z125" s="958"/>
      <c r="AA125" s="958"/>
      <c r="AB125" s="958"/>
      <c r="AC125" s="958"/>
      <c r="AD125" s="958"/>
      <c r="AE125" s="958"/>
      <c r="AF125" s="96"/>
      <c r="AG125" s="96"/>
      <c r="AH125" s="89"/>
    </row>
    <row r="126" spans="2:34">
      <c r="B126" s="89"/>
      <c r="H126"/>
      <c r="N126" s="122"/>
      <c r="O126" s="23"/>
      <c r="P126" s="958"/>
      <c r="Q126" s="958"/>
      <c r="R126" s="958"/>
      <c r="S126" s="958"/>
      <c r="T126" s="958"/>
      <c r="U126" s="958"/>
      <c r="V126" s="958"/>
      <c r="W126" s="154" t="s">
        <v>51</v>
      </c>
      <c r="Y126" s="958"/>
      <c r="Z126" s="958"/>
      <c r="AA126" s="958"/>
      <c r="AB126" s="958"/>
      <c r="AC126" s="958"/>
      <c r="AD126" s="958"/>
      <c r="AE126" s="958"/>
      <c r="AF126" s="154" t="s">
        <v>51</v>
      </c>
      <c r="AG126" s="97"/>
      <c r="AH126" s="89"/>
    </row>
    <row r="127" spans="2:34">
      <c r="B127" s="89"/>
      <c r="H127"/>
      <c r="N127" s="122"/>
      <c r="P127" s="66"/>
      <c r="Q127" s="66"/>
      <c r="R127" s="66"/>
      <c r="S127" s="66"/>
      <c r="T127" s="66"/>
      <c r="U127" s="66"/>
      <c r="V127" s="66"/>
      <c r="Y127" s="66"/>
      <c r="Z127" s="66"/>
      <c r="AA127" s="66"/>
      <c r="AB127" s="66"/>
      <c r="AC127" s="66"/>
      <c r="AD127" s="66"/>
      <c r="AE127" s="66"/>
      <c r="AH127" s="89"/>
    </row>
    <row r="128" spans="2:34">
      <c r="B128" s="89"/>
      <c r="P128" s="66"/>
      <c r="Q128" s="66"/>
      <c r="R128" s="66"/>
      <c r="S128" s="66"/>
      <c r="T128" s="66"/>
      <c r="U128" s="66"/>
      <c r="V128" s="66"/>
      <c r="Y128" s="66"/>
      <c r="Z128" s="66"/>
      <c r="AA128" s="66"/>
      <c r="AB128" s="66"/>
      <c r="AC128" s="66"/>
      <c r="AD128" s="66"/>
      <c r="AE128" s="66"/>
      <c r="AH128" s="89"/>
    </row>
    <row r="129" spans="1:34" ht="12.75" customHeight="1">
      <c r="B129" s="89"/>
      <c r="C129" s="89"/>
      <c r="D129" s="89"/>
      <c r="E129" s="89"/>
      <c r="F129" s="89"/>
      <c r="G129" s="89"/>
      <c r="H129" s="95"/>
      <c r="I129" s="89"/>
      <c r="J129" s="89"/>
      <c r="K129" s="89"/>
      <c r="L129" s="89"/>
      <c r="M129" s="89"/>
      <c r="N129" s="89"/>
      <c r="O129" s="89"/>
      <c r="P129" s="93"/>
      <c r="Q129" s="93"/>
      <c r="R129" s="93"/>
      <c r="S129" s="93"/>
      <c r="T129" s="93"/>
      <c r="U129" s="93"/>
      <c r="V129" s="93"/>
      <c r="W129" s="89"/>
      <c r="X129" s="89"/>
      <c r="Y129" s="89"/>
      <c r="Z129" s="89"/>
      <c r="AA129" s="89"/>
      <c r="AB129" s="89"/>
      <c r="AC129" s="89"/>
      <c r="AD129" s="89"/>
      <c r="AE129" s="89"/>
      <c r="AF129" s="89"/>
      <c r="AG129" s="89"/>
      <c r="AH129" s="89"/>
    </row>
    <row r="131" spans="1:34">
      <c r="H131"/>
      <c r="N131" s="13"/>
      <c r="O131"/>
    </row>
    <row r="132" spans="1:34">
      <c r="A132" s="126" t="s">
        <v>58</v>
      </c>
      <c r="B132" s="89"/>
      <c r="C132" s="89"/>
      <c r="D132" s="90"/>
      <c r="E132" s="91"/>
      <c r="F132" s="91"/>
      <c r="G132" s="91"/>
      <c r="H132" s="92"/>
      <c r="I132" s="91"/>
      <c r="J132" s="91"/>
      <c r="K132" s="93"/>
      <c r="L132" s="93"/>
      <c r="M132" s="94"/>
      <c r="N132" s="94"/>
      <c r="O132" s="93"/>
      <c r="P132" s="89"/>
      <c r="Q132" s="89"/>
      <c r="R132" s="89"/>
      <c r="S132" s="89"/>
      <c r="T132" s="89"/>
      <c r="U132" s="89"/>
      <c r="V132" s="89"/>
      <c r="W132" s="93"/>
      <c r="X132" s="93"/>
      <c r="Y132" s="89"/>
    </row>
    <row r="133" spans="1:34" ht="13.5" thickBot="1">
      <c r="A133" s="127" t="s">
        <v>51</v>
      </c>
      <c r="B133" s="89"/>
      <c r="Y133" s="89"/>
    </row>
    <row r="134" spans="1:34" ht="32.25" customHeight="1" thickBot="1">
      <c r="A134" s="128" t="s">
        <v>50</v>
      </c>
      <c r="B134" s="89"/>
      <c r="D134" s="955" t="s">
        <v>132</v>
      </c>
      <c r="E134" s="956"/>
      <c r="F134" s="956"/>
      <c r="G134" s="956"/>
      <c r="H134" s="956"/>
      <c r="I134" s="956"/>
      <c r="J134" s="956"/>
      <c r="K134" s="956"/>
      <c r="L134" s="956"/>
      <c r="M134" s="956"/>
      <c r="N134" s="956"/>
      <c r="P134" s="965" t="s">
        <v>325</v>
      </c>
      <c r="Q134" s="966"/>
      <c r="R134" s="966"/>
      <c r="S134" s="966"/>
      <c r="T134" s="966"/>
      <c r="U134" s="966"/>
      <c r="V134" s="967"/>
      <c r="Y134" s="89"/>
    </row>
    <row r="135" spans="1:34" ht="23.25" customHeight="1">
      <c r="B135" s="89"/>
      <c r="D135" s="155" t="s">
        <v>13</v>
      </c>
      <c r="E135" s="224"/>
      <c r="F135" s="237" t="s">
        <v>36</v>
      </c>
      <c r="G135" s="238"/>
      <c r="H135" s="483" t="s">
        <v>37</v>
      </c>
      <c r="I135" s="461"/>
      <c r="J135" s="989" t="s">
        <v>451</v>
      </c>
      <c r="K135" s="990"/>
      <c r="L135" s="990"/>
      <c r="M135" s="990"/>
      <c r="N135" s="991"/>
      <c r="O135"/>
      <c r="P135" s="968"/>
      <c r="Q135" s="969"/>
      <c r="R135" s="969"/>
      <c r="S135" s="969"/>
      <c r="T135" s="969"/>
      <c r="U135" s="969"/>
      <c r="V135" s="970"/>
      <c r="Y135" s="89"/>
    </row>
    <row r="136" spans="1:34" ht="18" customHeight="1" thickBot="1">
      <c r="B136" s="89"/>
      <c r="D136" s="159">
        <f>VID_1</f>
        <v>0.9</v>
      </c>
      <c r="E136" s="232"/>
      <c r="F136" s="243">
        <v>2</v>
      </c>
      <c r="G136" s="17"/>
      <c r="H136" s="449">
        <f>MIN(F136+I_Step_PS0_IccMAX,IccMax)</f>
        <v>60</v>
      </c>
      <c r="I136" s="481"/>
      <c r="J136" s="992"/>
      <c r="K136" s="993"/>
      <c r="L136" s="993"/>
      <c r="M136" s="993"/>
      <c r="N136" s="994"/>
      <c r="O136"/>
      <c r="P136" s="968"/>
      <c r="Q136" s="969"/>
      <c r="R136" s="969"/>
      <c r="S136" s="969"/>
      <c r="T136" s="969"/>
      <c r="U136" s="969"/>
      <c r="V136" s="970"/>
      <c r="Y136" s="89"/>
    </row>
    <row r="137" spans="1:34" ht="25.5">
      <c r="B137" s="89"/>
      <c r="D137" s="294" t="s">
        <v>324</v>
      </c>
      <c r="E137" s="232"/>
      <c r="F137" s="240" t="s">
        <v>196</v>
      </c>
      <c r="G137" s="453" t="s">
        <v>395</v>
      </c>
      <c r="H137" s="458" t="s">
        <v>195</v>
      </c>
      <c r="I137" s="241" t="s">
        <v>396</v>
      </c>
      <c r="J137" s="486" t="s">
        <v>196</v>
      </c>
      <c r="K137" s="487" t="s">
        <v>395</v>
      </c>
      <c r="L137" s="488" t="s">
        <v>195</v>
      </c>
      <c r="M137" s="489" t="s">
        <v>396</v>
      </c>
      <c r="N137" s="30"/>
      <c r="O137"/>
      <c r="P137" s="968"/>
      <c r="Q137" s="969"/>
      <c r="R137" s="969"/>
      <c r="S137" s="969"/>
      <c r="T137" s="969"/>
      <c r="U137" s="969"/>
      <c r="V137" s="970"/>
      <c r="Y137" s="89"/>
    </row>
    <row r="138" spans="1:34" ht="12.75" customHeight="1">
      <c r="B138" s="89"/>
      <c r="D138" s="293">
        <f>dt</f>
        <v>65</v>
      </c>
      <c r="E138" s="232"/>
      <c r="F138" s="314">
        <v>1</v>
      </c>
      <c r="G138" s="480">
        <f>$G$11</f>
        <v>0.5</v>
      </c>
      <c r="H138" s="474">
        <v>0</v>
      </c>
      <c r="I138" s="464" t="s">
        <v>165</v>
      </c>
      <c r="J138" s="314">
        <v>1</v>
      </c>
      <c r="K138" s="573">
        <v>20</v>
      </c>
      <c r="L138" s="474">
        <v>0</v>
      </c>
      <c r="M138" s="574">
        <v>20</v>
      </c>
      <c r="N138" s="30"/>
      <c r="O138"/>
      <c r="P138" s="968"/>
      <c r="Q138" s="969"/>
      <c r="R138" s="969"/>
      <c r="S138" s="969"/>
      <c r="T138" s="969"/>
      <c r="U138" s="969"/>
      <c r="V138" s="970"/>
      <c r="Y138" s="89"/>
    </row>
    <row r="139" spans="1:34" ht="12.75" customHeight="1">
      <c r="B139" s="89"/>
      <c r="D139" s="161" t="s">
        <v>38</v>
      </c>
      <c r="E139" s="232"/>
      <c r="F139" s="29"/>
      <c r="G139" s="17"/>
      <c r="H139" s="398"/>
      <c r="I139" s="30"/>
      <c r="J139" s="974" t="s">
        <v>518</v>
      </c>
      <c r="K139" s="975"/>
      <c r="L139" s="975"/>
      <c r="M139" s="976"/>
      <c r="N139" s="484" t="s">
        <v>73</v>
      </c>
      <c r="O139"/>
      <c r="P139" s="968"/>
      <c r="Q139" s="969"/>
      <c r="R139" s="969"/>
      <c r="S139" s="969"/>
      <c r="T139" s="969"/>
      <c r="U139" s="969"/>
      <c r="V139" s="970"/>
      <c r="Y139" s="89"/>
    </row>
    <row r="140" spans="1:34" ht="16.149999999999999" customHeight="1">
      <c r="B140" s="89"/>
      <c r="D140" s="255" t="s">
        <v>385</v>
      </c>
      <c r="E140" s="235"/>
      <c r="F140" s="284" t="s">
        <v>90</v>
      </c>
      <c r="G140" s="17"/>
      <c r="H140" s="17"/>
      <c r="I140" s="30"/>
      <c r="J140" s="977"/>
      <c r="K140" s="978"/>
      <c r="L140" s="978"/>
      <c r="M140" s="979"/>
      <c r="N140" s="513">
        <v>2.048</v>
      </c>
      <c r="O140"/>
      <c r="P140" s="968"/>
      <c r="Q140" s="969"/>
      <c r="R140" s="969"/>
      <c r="S140" s="969"/>
      <c r="T140" s="969"/>
      <c r="U140" s="969"/>
      <c r="V140" s="970"/>
      <c r="Y140" s="89"/>
    </row>
    <row r="141" spans="1:34" ht="29.25" customHeight="1">
      <c r="B141" s="89"/>
      <c r="D141" s="254" t="s">
        <v>384</v>
      </c>
      <c r="E141" s="236"/>
      <c r="F141" s="282">
        <v>0.89061599999999996</v>
      </c>
      <c r="G141" s="17"/>
      <c r="H141" s="17"/>
      <c r="I141" s="30"/>
      <c r="J141" s="980"/>
      <c r="K141" s="981"/>
      <c r="L141" s="981"/>
      <c r="M141" s="982"/>
      <c r="N141" s="32"/>
      <c r="O141"/>
      <c r="P141" s="968"/>
      <c r="Q141" s="969"/>
      <c r="R141" s="969"/>
      <c r="S141" s="969"/>
      <c r="T141" s="969"/>
      <c r="U141" s="969"/>
      <c r="V141" s="970"/>
      <c r="Y141" s="89"/>
    </row>
    <row r="142" spans="1:34" ht="90" customHeight="1">
      <c r="B142" s="89"/>
      <c r="D142" s="444" t="s">
        <v>387</v>
      </c>
      <c r="E142" s="236"/>
      <c r="F142" s="943" t="s">
        <v>92</v>
      </c>
      <c r="G142" s="995" t="s">
        <v>341</v>
      </c>
      <c r="H142" s="996"/>
      <c r="I142" s="997"/>
      <c r="J142" s="29"/>
      <c r="K142" s="17"/>
      <c r="L142" s="17"/>
      <c r="M142" s="17"/>
      <c r="N142" s="30"/>
      <c r="O142" s="151"/>
      <c r="P142" s="968"/>
      <c r="Q142" s="969"/>
      <c r="R142" s="969"/>
      <c r="S142" s="969"/>
      <c r="T142" s="969"/>
      <c r="U142" s="969"/>
      <c r="V142" s="970"/>
      <c r="Y142" s="89"/>
    </row>
    <row r="143" spans="1:34" ht="16.149999999999999" customHeight="1">
      <c r="B143" s="89"/>
      <c r="E143" s="236"/>
      <c r="F143" s="944"/>
      <c r="G143" s="995"/>
      <c r="H143" s="996"/>
      <c r="I143" s="997"/>
      <c r="J143" s="1014" t="s">
        <v>519</v>
      </c>
      <c r="K143" s="984"/>
      <c r="L143" s="984"/>
      <c r="M143" s="984"/>
      <c r="N143" s="514">
        <v>1.248</v>
      </c>
      <c r="O143" s="151"/>
      <c r="P143" s="968"/>
      <c r="Q143" s="969"/>
      <c r="R143" s="969"/>
      <c r="S143" s="969"/>
      <c r="T143" s="969"/>
      <c r="U143" s="969"/>
      <c r="V143" s="970"/>
      <c r="Y143" s="89"/>
    </row>
    <row r="144" spans="1:34" ht="27" customHeight="1">
      <c r="B144" s="89"/>
      <c r="E144" s="158"/>
      <c r="F144" s="945"/>
      <c r="G144" s="17"/>
      <c r="H144" s="17"/>
      <c r="I144" s="30"/>
      <c r="J144" s="1015"/>
      <c r="K144" s="984"/>
      <c r="L144" s="984"/>
      <c r="M144" s="984"/>
      <c r="N144" s="32"/>
      <c r="O144" s="151"/>
      <c r="P144" s="968"/>
      <c r="Q144" s="969"/>
      <c r="R144" s="969"/>
      <c r="S144" s="969"/>
      <c r="T144" s="969"/>
      <c r="U144" s="969"/>
      <c r="V144" s="970"/>
      <c r="Y144" s="89"/>
    </row>
    <row r="145" spans="2:25" ht="16.149999999999999" customHeight="1" thickBot="1">
      <c r="B145" s="89"/>
      <c r="D145" s="445" t="s">
        <v>342</v>
      </c>
      <c r="E145" s="164"/>
      <c r="F145" s="283">
        <v>0.78416799999999998</v>
      </c>
      <c r="G145" s="110"/>
      <c r="H145" s="110"/>
      <c r="I145" s="111"/>
      <c r="J145" s="485"/>
      <c r="K145" s="110"/>
      <c r="L145" s="110"/>
      <c r="M145" s="110"/>
      <c r="N145" s="111"/>
      <c r="O145" s="117"/>
      <c r="P145" s="968"/>
      <c r="Q145" s="969"/>
      <c r="R145" s="969"/>
      <c r="S145" s="969"/>
      <c r="T145" s="969"/>
      <c r="U145" s="969"/>
      <c r="V145" s="970"/>
      <c r="Y145" s="89"/>
    </row>
    <row r="146" spans="2:25" ht="18.75" customHeight="1" thickBot="1">
      <c r="B146" s="89"/>
      <c r="P146" s="968"/>
      <c r="Q146" s="969"/>
      <c r="R146" s="969"/>
      <c r="S146" s="969"/>
      <c r="T146" s="969"/>
      <c r="U146" s="969"/>
      <c r="V146" s="970"/>
      <c r="Y146" s="89"/>
    </row>
    <row r="147" spans="2:25" ht="26.25" customHeight="1">
      <c r="B147" s="89"/>
      <c r="E147" s="898" t="s">
        <v>71</v>
      </c>
      <c r="F147" s="899"/>
      <c r="G147" s="899"/>
      <c r="H147" s="899"/>
      <c r="I147" s="900"/>
      <c r="K147" s="946" t="s">
        <v>40</v>
      </c>
      <c r="L147" s="947"/>
      <c r="M147" s="947"/>
      <c r="N147" s="948"/>
      <c r="O147" s="23"/>
      <c r="P147" s="968"/>
      <c r="Q147" s="969"/>
      <c r="R147" s="969"/>
      <c r="S147" s="969"/>
      <c r="T147" s="969"/>
      <c r="U147" s="969"/>
      <c r="V147" s="970"/>
      <c r="Y147" s="89"/>
    </row>
    <row r="148" spans="2:25" ht="12.75" customHeight="1">
      <c r="B148" s="89"/>
      <c r="E148" s="871" t="s">
        <v>228</v>
      </c>
      <c r="F148" s="931"/>
      <c r="G148" s="931"/>
      <c r="H148" s="872"/>
      <c r="I148" s="149">
        <f>(F141-F145)/(H136-F136)*1000</f>
        <v>1.8353103448275858</v>
      </c>
      <c r="K148" s="873" t="s">
        <v>231</v>
      </c>
      <c r="L148" s="872"/>
      <c r="M148" s="874"/>
      <c r="N148" s="148">
        <f>IF('Spec Entry'!$G$28='Spec Entry'!$A$16,R_AC_LL_max,IF('Spec Entry'!$G$28='Spec Entry'!$A$15,R_AC_LL,))</f>
        <v>2.0142857142857147</v>
      </c>
      <c r="O148" s="23"/>
      <c r="P148" s="968"/>
      <c r="Q148" s="969"/>
      <c r="R148" s="969"/>
      <c r="S148" s="969"/>
      <c r="T148" s="969"/>
      <c r="U148" s="969"/>
      <c r="V148" s="970"/>
      <c r="Y148" s="89"/>
    </row>
    <row r="149" spans="2:25" ht="12.75" customHeight="1">
      <c r="B149" s="89"/>
      <c r="E149" s="1016"/>
      <c r="F149" s="1017"/>
      <c r="G149" s="24"/>
      <c r="H149" s="268"/>
      <c r="I149" s="269"/>
      <c r="K149" s="950"/>
      <c r="L149" s="951"/>
      <c r="M149" s="952"/>
      <c r="N149" s="272"/>
      <c r="O149" s="23"/>
      <c r="P149" s="968"/>
      <c r="Q149" s="969"/>
      <c r="R149" s="969"/>
      <c r="S149" s="969"/>
      <c r="T149" s="969"/>
      <c r="U149" s="969"/>
      <c r="V149" s="970"/>
      <c r="Y149" s="89"/>
    </row>
    <row r="150" spans="2:25" ht="12.75" customHeight="1">
      <c r="B150" s="89"/>
      <c r="E150" s="873" t="s">
        <v>82</v>
      </c>
      <c r="F150" s="874"/>
      <c r="G150" s="874"/>
      <c r="H150" s="874"/>
      <c r="I150" s="761">
        <f>N140</f>
        <v>2.048</v>
      </c>
      <c r="K150" s="932" t="s">
        <v>80</v>
      </c>
      <c r="L150" s="902"/>
      <c r="M150" s="902"/>
      <c r="N150" s="959">
        <f>Ripple_PS1-('Static LL'!$AK22/2)+V_Undershoot</f>
        <v>4.5999999999999996</v>
      </c>
      <c r="O150" s="23"/>
      <c r="P150" s="968"/>
      <c r="Q150" s="969"/>
      <c r="R150" s="969"/>
      <c r="S150" s="969"/>
      <c r="T150" s="969"/>
      <c r="U150" s="969"/>
      <c r="V150" s="970"/>
      <c r="Y150" s="89"/>
    </row>
    <row r="151" spans="2:25" ht="13.5" customHeight="1" thickBot="1">
      <c r="B151" s="89"/>
      <c r="E151" s="29"/>
      <c r="F151" s="17"/>
      <c r="G151" s="17"/>
      <c r="H151" s="24"/>
      <c r="I151" s="30"/>
      <c r="K151" s="932"/>
      <c r="L151" s="902"/>
      <c r="M151" s="902"/>
      <c r="N151" s="960"/>
      <c r="O151" s="23"/>
      <c r="P151" s="968"/>
      <c r="Q151" s="969"/>
      <c r="R151" s="969"/>
      <c r="S151" s="969"/>
      <c r="T151" s="969"/>
      <c r="U151" s="969"/>
      <c r="V151" s="970"/>
      <c r="Y151" s="89"/>
    </row>
    <row r="152" spans="2:25" ht="13.5" customHeight="1">
      <c r="B152" s="89"/>
      <c r="E152" s="961"/>
      <c r="F152" s="962"/>
      <c r="G152" s="962"/>
      <c r="H152" s="962"/>
      <c r="I152" s="124"/>
      <c r="K152" s="251"/>
      <c r="L152" s="270"/>
      <c r="M152" s="270"/>
      <c r="N152" s="271"/>
      <c r="O152" s="23"/>
      <c r="P152" s="968"/>
      <c r="Q152" s="969"/>
      <c r="R152" s="969"/>
      <c r="S152" s="969"/>
      <c r="T152" s="969"/>
      <c r="U152" s="969"/>
      <c r="V152" s="970"/>
      <c r="Y152" s="89"/>
    </row>
    <row r="153" spans="2:25" ht="13.5" customHeight="1" thickBot="1">
      <c r="B153" s="89"/>
      <c r="E153" s="879" t="s">
        <v>83</v>
      </c>
      <c r="F153" s="880"/>
      <c r="G153" s="880"/>
      <c r="H153" s="880"/>
      <c r="I153" s="762">
        <f>N143</f>
        <v>1.248</v>
      </c>
      <c r="K153" s="932" t="s">
        <v>81</v>
      </c>
      <c r="L153" s="902"/>
      <c r="M153" s="902"/>
      <c r="N153" s="959">
        <f>Ripple_PS0-('Static LL'!$AK$49/2)+V_Undershoot</f>
        <v>6.6</v>
      </c>
      <c r="O153" s="23"/>
      <c r="P153" s="971"/>
      <c r="Q153" s="972"/>
      <c r="R153" s="972"/>
      <c r="S153" s="972"/>
      <c r="T153" s="972"/>
      <c r="U153" s="972"/>
      <c r="V153" s="973"/>
      <c r="Y153" s="89"/>
    </row>
    <row r="154" spans="2:25" ht="16.5" thickBot="1">
      <c r="B154" s="89"/>
      <c r="D154" s="24"/>
      <c r="E154" s="276"/>
      <c r="F154" s="110"/>
      <c r="G154" s="110"/>
      <c r="H154" s="222"/>
      <c r="I154" s="111"/>
      <c r="J154" s="24"/>
      <c r="K154" s="903"/>
      <c r="L154" s="904"/>
      <c r="M154" s="904"/>
      <c r="N154" s="960"/>
      <c r="O154" s="23"/>
      <c r="P154" s="73"/>
      <c r="Q154" s="73"/>
      <c r="R154" s="73"/>
      <c r="S154" s="73"/>
      <c r="T154" s="73"/>
      <c r="U154" s="73"/>
      <c r="V154" s="73"/>
      <c r="Y154" s="89"/>
    </row>
    <row r="155" spans="2:25">
      <c r="B155" s="89"/>
      <c r="N155" s="23"/>
      <c r="O155" s="23"/>
      <c r="P155" s="958" t="s">
        <v>85</v>
      </c>
      <c r="Q155" s="958"/>
      <c r="R155" s="958"/>
      <c r="S155" s="958"/>
      <c r="T155" s="958"/>
      <c r="U155" s="958"/>
      <c r="V155" s="958"/>
      <c r="W155" s="96"/>
      <c r="X155" s="96"/>
      <c r="Y155" s="89"/>
    </row>
    <row r="156" spans="2:25">
      <c r="B156" s="89"/>
      <c r="E156" s="884" t="s">
        <v>229</v>
      </c>
      <c r="F156" s="884"/>
      <c r="G156" s="884"/>
      <c r="H156" s="884"/>
      <c r="I156" s="884"/>
      <c r="J156" s="884"/>
      <c r="K156" s="884"/>
      <c r="L156" s="895"/>
      <c r="M156" s="220"/>
      <c r="N156" s="153" t="s">
        <v>51</v>
      </c>
      <c r="O156" s="23"/>
      <c r="P156" s="958"/>
      <c r="Q156" s="958"/>
      <c r="R156" s="958"/>
      <c r="S156" s="958"/>
      <c r="T156" s="958"/>
      <c r="U156" s="958"/>
      <c r="V156" s="958"/>
      <c r="W156" s="96"/>
      <c r="X156" s="96"/>
      <c r="Y156" s="89"/>
    </row>
    <row r="157" spans="2:25" ht="12.75" customHeight="1">
      <c r="B157" s="89"/>
      <c r="E157" s="580"/>
      <c r="F157" s="581"/>
      <c r="G157" s="581"/>
      <c r="H157" s="581"/>
      <c r="I157" s="581"/>
      <c r="J157" s="581"/>
      <c r="K157" s="581"/>
      <c r="L157" s="581"/>
      <c r="M157" s="582"/>
      <c r="O157" s="23"/>
      <c r="P157" s="958"/>
      <c r="Q157" s="958"/>
      <c r="R157" s="958"/>
      <c r="S157" s="958"/>
      <c r="T157" s="958"/>
      <c r="U157" s="958"/>
      <c r="V157" s="958"/>
      <c r="W157" s="96"/>
      <c r="X157" s="96"/>
      <c r="Y157" s="89"/>
    </row>
    <row r="158" spans="2:25" ht="13.15" customHeight="1">
      <c r="B158" s="89"/>
      <c r="E158" s="1004" t="s">
        <v>145</v>
      </c>
      <c r="F158" s="1005"/>
      <c r="G158" s="1005"/>
      <c r="H158" s="1005"/>
      <c r="I158" s="1005"/>
      <c r="J158" s="1005"/>
      <c r="K158" s="1005"/>
      <c r="L158" s="1005"/>
      <c r="M158" s="1006"/>
      <c r="N158" s="154" t="s">
        <v>51</v>
      </c>
      <c r="O158" s="23"/>
      <c r="P158" s="958"/>
      <c r="Q158" s="958"/>
      <c r="R158" s="958"/>
      <c r="S158" s="958"/>
      <c r="T158" s="958"/>
      <c r="U158" s="958"/>
      <c r="V158" s="958"/>
      <c r="W158" s="154" t="s">
        <v>51</v>
      </c>
      <c r="Y158" s="89"/>
    </row>
    <row r="159" spans="2:25">
      <c r="B159" s="89"/>
      <c r="N159" s="122"/>
      <c r="P159" s="66"/>
      <c r="Q159" s="66"/>
      <c r="R159" s="66"/>
      <c r="S159" s="66"/>
      <c r="T159" s="66"/>
      <c r="U159" s="66"/>
      <c r="V159" s="66"/>
      <c r="Y159" s="89"/>
    </row>
    <row r="160" spans="2:25">
      <c r="B160" s="89"/>
      <c r="P160" s="66"/>
      <c r="Q160" s="66"/>
      <c r="R160" s="66"/>
      <c r="S160" s="66"/>
      <c r="T160" s="66"/>
      <c r="U160" s="66"/>
      <c r="V160" s="66"/>
      <c r="Y160" s="89"/>
    </row>
    <row r="161" spans="1:25" ht="12.75" customHeight="1">
      <c r="B161" s="89"/>
      <c r="C161" s="89"/>
      <c r="D161" s="89"/>
      <c r="E161" s="89"/>
      <c r="F161" s="89"/>
      <c r="G161" s="89"/>
      <c r="H161" s="95"/>
      <c r="I161" s="89"/>
      <c r="J161" s="89"/>
      <c r="K161" s="89"/>
      <c r="L161" s="89"/>
      <c r="M161" s="89"/>
      <c r="N161" s="89"/>
      <c r="O161" s="89"/>
      <c r="P161" s="93"/>
      <c r="Q161" s="93"/>
      <c r="R161" s="93"/>
      <c r="S161" s="93"/>
      <c r="T161" s="93"/>
      <c r="U161" s="93"/>
      <c r="V161" s="93"/>
      <c r="W161" s="89"/>
      <c r="X161" s="89"/>
      <c r="Y161" s="89"/>
    </row>
    <row r="162" spans="1:25">
      <c r="H162"/>
      <c r="N162" s="13"/>
      <c r="O162"/>
    </row>
    <row r="163" spans="1:25">
      <c r="H163"/>
      <c r="N163" s="13"/>
      <c r="O163"/>
    </row>
    <row r="164" spans="1:25">
      <c r="A164" s="126" t="s">
        <v>58</v>
      </c>
      <c r="B164" s="89"/>
      <c r="C164" s="89"/>
      <c r="D164" s="90"/>
      <c r="E164" s="91"/>
      <c r="F164" s="91"/>
      <c r="G164" s="91"/>
      <c r="H164" s="92"/>
      <c r="I164" s="91"/>
      <c r="J164" s="91"/>
      <c r="K164" s="93"/>
      <c r="L164" s="93"/>
      <c r="M164" s="94"/>
      <c r="N164" s="94"/>
      <c r="O164" s="93"/>
      <c r="P164" s="89"/>
      <c r="Q164" s="89"/>
      <c r="R164" s="89"/>
      <c r="S164" s="89"/>
      <c r="T164" s="89"/>
      <c r="U164" s="89"/>
      <c r="V164" s="89"/>
      <c r="W164" s="93"/>
      <c r="X164" s="93"/>
      <c r="Y164" s="89"/>
    </row>
    <row r="165" spans="1:25" ht="13.5" thickBot="1">
      <c r="A165" s="127" t="s">
        <v>51</v>
      </c>
      <c r="B165" s="89"/>
      <c r="Y165" s="89"/>
    </row>
    <row r="166" spans="1:25" ht="32.25" customHeight="1" thickBot="1">
      <c r="A166" s="128" t="s">
        <v>50</v>
      </c>
      <c r="B166" s="89"/>
      <c r="D166" s="955" t="s">
        <v>133</v>
      </c>
      <c r="E166" s="956"/>
      <c r="F166" s="956"/>
      <c r="G166" s="956"/>
      <c r="H166" s="956"/>
      <c r="I166" s="956"/>
      <c r="J166" s="956"/>
      <c r="K166" s="956"/>
      <c r="L166" s="956"/>
      <c r="M166" s="956"/>
      <c r="N166" s="956"/>
      <c r="P166" s="965" t="s">
        <v>325</v>
      </c>
      <c r="Q166" s="966"/>
      <c r="R166" s="966"/>
      <c r="S166" s="966"/>
      <c r="T166" s="966"/>
      <c r="U166" s="966"/>
      <c r="V166" s="967"/>
      <c r="Y166" s="89"/>
    </row>
    <row r="167" spans="1:25" ht="26.45" customHeight="1">
      <c r="B167" s="89"/>
      <c r="D167" s="155" t="s">
        <v>13</v>
      </c>
      <c r="E167" s="224"/>
      <c r="F167" s="237" t="s">
        <v>36</v>
      </c>
      <c r="G167" s="238"/>
      <c r="H167" s="473" t="s">
        <v>37</v>
      </c>
      <c r="I167" s="477"/>
      <c r="J167" s="989" t="s">
        <v>451</v>
      </c>
      <c r="K167" s="990"/>
      <c r="L167" s="990"/>
      <c r="M167" s="990"/>
      <c r="N167" s="991"/>
      <c r="O167"/>
      <c r="P167" s="968"/>
      <c r="Q167" s="969"/>
      <c r="R167" s="969"/>
      <c r="S167" s="969"/>
      <c r="T167" s="969"/>
      <c r="U167" s="969"/>
      <c r="V167" s="970"/>
      <c r="Y167" s="89"/>
    </row>
    <row r="168" spans="1:25" ht="12.75" customHeight="1" thickBot="1">
      <c r="B168" s="89"/>
      <c r="D168" s="159">
        <f>VID_1</f>
        <v>0.9</v>
      </c>
      <c r="E168" s="232"/>
      <c r="F168" s="243">
        <v>2</v>
      </c>
      <c r="G168" s="17"/>
      <c r="H168" s="449">
        <f>MIN(F168+I_Step_PS0_IccMAX,IccMax)</f>
        <v>60</v>
      </c>
      <c r="I168" s="481"/>
      <c r="J168" s="992"/>
      <c r="K168" s="993"/>
      <c r="L168" s="993"/>
      <c r="M168" s="993"/>
      <c r="N168" s="994"/>
      <c r="O168"/>
      <c r="P168" s="968"/>
      <c r="Q168" s="969"/>
      <c r="R168" s="969"/>
      <c r="S168" s="969"/>
      <c r="T168" s="969"/>
      <c r="U168" s="969"/>
      <c r="V168" s="970"/>
      <c r="Y168" s="89"/>
    </row>
    <row r="169" spans="1:25" ht="25.5">
      <c r="B169" s="89"/>
      <c r="D169" s="294" t="s">
        <v>324</v>
      </c>
      <c r="E169" s="232"/>
      <c r="F169" s="459" t="s">
        <v>196</v>
      </c>
      <c r="G169" s="450" t="s">
        <v>395</v>
      </c>
      <c r="H169" s="450" t="s">
        <v>195</v>
      </c>
      <c r="I169" s="463" t="s">
        <v>396</v>
      </c>
      <c r="J169" s="486" t="s">
        <v>196</v>
      </c>
      <c r="K169" s="487" t="s">
        <v>395</v>
      </c>
      <c r="L169" s="488" t="s">
        <v>195</v>
      </c>
      <c r="M169" s="489" t="s">
        <v>396</v>
      </c>
      <c r="N169" s="30"/>
      <c r="O169"/>
      <c r="P169" s="968"/>
      <c r="Q169" s="969"/>
      <c r="R169" s="969"/>
      <c r="S169" s="969"/>
      <c r="T169" s="969"/>
      <c r="U169" s="969"/>
      <c r="V169" s="970"/>
      <c r="Y169" s="89"/>
    </row>
    <row r="170" spans="1:25" ht="12.75" customHeight="1">
      <c r="B170" s="89"/>
      <c r="D170" s="293">
        <f>dt</f>
        <v>65</v>
      </c>
      <c r="E170" s="232"/>
      <c r="F170" s="451">
        <v>2</v>
      </c>
      <c r="G170" s="471">
        <f>$G$11</f>
        <v>0.5</v>
      </c>
      <c r="H170" s="452">
        <v>0</v>
      </c>
      <c r="I170" s="470" t="s">
        <v>165</v>
      </c>
      <c r="J170" s="314">
        <v>2</v>
      </c>
      <c r="K170" s="573">
        <v>20</v>
      </c>
      <c r="L170" s="474">
        <v>0</v>
      </c>
      <c r="M170" s="574">
        <v>20</v>
      </c>
      <c r="N170" s="30"/>
      <c r="O170"/>
      <c r="P170" s="968"/>
      <c r="Q170" s="969"/>
      <c r="R170" s="969"/>
      <c r="S170" s="969"/>
      <c r="T170" s="969"/>
      <c r="U170" s="969"/>
      <c r="V170" s="970"/>
      <c r="Y170" s="89"/>
    </row>
    <row r="171" spans="1:25" ht="12.75" customHeight="1">
      <c r="B171" s="89"/>
      <c r="D171" s="161" t="s">
        <v>38</v>
      </c>
      <c r="E171" s="232"/>
      <c r="F171" s="29"/>
      <c r="G171" s="17"/>
      <c r="H171" s="398"/>
      <c r="I171" s="30"/>
      <c r="J171" s="974" t="s">
        <v>520</v>
      </c>
      <c r="K171" s="975"/>
      <c r="L171" s="975"/>
      <c r="M171" s="976"/>
      <c r="N171" s="67" t="s">
        <v>73</v>
      </c>
      <c r="O171"/>
      <c r="P171" s="968"/>
      <c r="Q171" s="969"/>
      <c r="R171" s="969"/>
      <c r="S171" s="969"/>
      <c r="T171" s="969"/>
      <c r="U171" s="969"/>
      <c r="V171" s="970"/>
      <c r="Y171" s="89"/>
    </row>
    <row r="172" spans="1:25" ht="16.149999999999999" customHeight="1">
      <c r="B172" s="89"/>
      <c r="D172" s="255" t="s">
        <v>385</v>
      </c>
      <c r="E172" s="235"/>
      <c r="F172" s="284" t="s">
        <v>90</v>
      </c>
      <c r="G172" s="17"/>
      <c r="H172" s="17"/>
      <c r="I172" s="30"/>
      <c r="J172" s="977"/>
      <c r="K172" s="978"/>
      <c r="L172" s="978"/>
      <c r="M172" s="979"/>
      <c r="N172" s="125">
        <v>1.6479999999999999</v>
      </c>
      <c r="O172"/>
      <c r="P172" s="968"/>
      <c r="Q172" s="969"/>
      <c r="R172" s="969"/>
      <c r="S172" s="969"/>
      <c r="T172" s="969"/>
      <c r="U172" s="969"/>
      <c r="V172" s="970"/>
      <c r="Y172" s="89"/>
    </row>
    <row r="173" spans="1:25" ht="24.75" customHeight="1">
      <c r="B173" s="89"/>
      <c r="D173" s="254" t="s">
        <v>384</v>
      </c>
      <c r="E173" s="236"/>
      <c r="F173" s="282">
        <v>0.89141599999999999</v>
      </c>
      <c r="G173" s="17"/>
      <c r="H173" s="17"/>
      <c r="I173" s="30"/>
      <c r="J173" s="980"/>
      <c r="K173" s="981"/>
      <c r="L173" s="981"/>
      <c r="M173" s="982"/>
      <c r="N173" s="13"/>
      <c r="O173"/>
      <c r="P173" s="968"/>
      <c r="Q173" s="969"/>
      <c r="R173" s="969"/>
      <c r="S173" s="969"/>
      <c r="T173" s="969"/>
      <c r="U173" s="969"/>
      <c r="V173" s="970"/>
      <c r="Y173" s="89"/>
    </row>
    <row r="174" spans="1:25" ht="90" customHeight="1">
      <c r="B174" s="89"/>
      <c r="D174" s="444" t="s">
        <v>387</v>
      </c>
      <c r="E174" s="236"/>
      <c r="F174" s="943" t="s">
        <v>92</v>
      </c>
      <c r="G174" s="995" t="s">
        <v>341</v>
      </c>
      <c r="H174" s="996"/>
      <c r="I174" s="997"/>
      <c r="O174" s="151"/>
      <c r="P174" s="968"/>
      <c r="Q174" s="969"/>
      <c r="R174" s="969"/>
      <c r="S174" s="969"/>
      <c r="T174" s="969"/>
      <c r="U174" s="969"/>
      <c r="V174" s="970"/>
      <c r="Y174" s="89"/>
    </row>
    <row r="175" spans="1:25" ht="16.149999999999999" customHeight="1">
      <c r="B175" s="89"/>
      <c r="E175" s="236"/>
      <c r="F175" s="944"/>
      <c r="G175" s="995"/>
      <c r="H175" s="996"/>
      <c r="I175" s="997"/>
      <c r="J175" s="983" t="s">
        <v>521</v>
      </c>
      <c r="K175" s="984"/>
      <c r="L175" s="984"/>
      <c r="M175" s="984"/>
      <c r="N175" s="273">
        <v>1.248</v>
      </c>
      <c r="O175" s="151"/>
      <c r="P175" s="968"/>
      <c r="Q175" s="969"/>
      <c r="R175" s="969"/>
      <c r="S175" s="969"/>
      <c r="T175" s="969"/>
      <c r="U175" s="969"/>
      <c r="V175" s="970"/>
      <c r="Y175" s="89"/>
    </row>
    <row r="176" spans="1:25" ht="27" customHeight="1">
      <c r="B176" s="89"/>
      <c r="D176" s="96"/>
      <c r="E176" s="158"/>
      <c r="F176" s="945"/>
      <c r="G176" s="17"/>
      <c r="H176" s="17"/>
      <c r="I176" s="30"/>
      <c r="J176" s="985"/>
      <c r="K176" s="984"/>
      <c r="L176" s="984"/>
      <c r="M176" s="984"/>
      <c r="N176" s="13"/>
      <c r="O176" s="151"/>
      <c r="P176" s="968"/>
      <c r="Q176" s="969"/>
      <c r="R176" s="969"/>
      <c r="S176" s="969"/>
      <c r="T176" s="969"/>
      <c r="U176" s="969"/>
      <c r="V176" s="970"/>
      <c r="Y176" s="89"/>
    </row>
    <row r="177" spans="2:25" ht="16.149999999999999" customHeight="1" thickBot="1">
      <c r="B177" s="89"/>
      <c r="D177" s="445" t="s">
        <v>342</v>
      </c>
      <c r="E177" s="164"/>
      <c r="F177" s="283">
        <v>0.78536799999999996</v>
      </c>
      <c r="G177" s="110"/>
      <c r="H177" s="110"/>
      <c r="I177" s="111"/>
      <c r="J177" s="246"/>
      <c r="O177" s="117"/>
      <c r="P177" s="968"/>
      <c r="Q177" s="969"/>
      <c r="R177" s="969"/>
      <c r="S177" s="969"/>
      <c r="T177" s="969"/>
      <c r="U177" s="969"/>
      <c r="V177" s="970"/>
      <c r="Y177" s="89"/>
    </row>
    <row r="178" spans="2:25" ht="18.75" customHeight="1" thickBot="1">
      <c r="B178" s="89"/>
      <c r="P178" s="968"/>
      <c r="Q178" s="969"/>
      <c r="R178" s="969"/>
      <c r="S178" s="969"/>
      <c r="T178" s="969"/>
      <c r="U178" s="969"/>
      <c r="V178" s="970"/>
      <c r="Y178" s="89"/>
    </row>
    <row r="179" spans="2:25" ht="26.25" customHeight="1">
      <c r="B179" s="89"/>
      <c r="E179" s="898" t="s">
        <v>71</v>
      </c>
      <c r="F179" s="899"/>
      <c r="G179" s="899"/>
      <c r="H179" s="899"/>
      <c r="I179" s="900"/>
      <c r="K179" s="946" t="s">
        <v>40</v>
      </c>
      <c r="L179" s="947"/>
      <c r="M179" s="947"/>
      <c r="N179" s="948"/>
      <c r="O179" s="23"/>
      <c r="P179" s="968"/>
      <c r="Q179" s="969"/>
      <c r="R179" s="969"/>
      <c r="S179" s="969"/>
      <c r="T179" s="969"/>
      <c r="U179" s="969"/>
      <c r="V179" s="970"/>
      <c r="Y179" s="89"/>
    </row>
    <row r="180" spans="2:25" ht="12.75" customHeight="1">
      <c r="B180" s="89"/>
      <c r="E180" s="871" t="s">
        <v>228</v>
      </c>
      <c r="F180" s="931"/>
      <c r="G180" s="931"/>
      <c r="H180" s="872"/>
      <c r="I180" s="149">
        <f>(F173-F177)/(H168-F168)*1000</f>
        <v>1.828413793103449</v>
      </c>
      <c r="K180" s="873" t="s">
        <v>231</v>
      </c>
      <c r="L180" s="872"/>
      <c r="M180" s="874"/>
      <c r="N180" s="148">
        <f>IF('Spec Entry'!$G$28='Spec Entry'!$A$16,R_AC_LL_max,IF('Spec Entry'!$G$28='Spec Entry'!$A$15,R_AC_LL,))</f>
        <v>2.0142857142857147</v>
      </c>
      <c r="O180" s="23"/>
      <c r="P180" s="968"/>
      <c r="Q180" s="969"/>
      <c r="R180" s="969"/>
      <c r="S180" s="969"/>
      <c r="T180" s="969"/>
      <c r="U180" s="969"/>
      <c r="V180" s="970"/>
      <c r="Y180" s="89"/>
    </row>
    <row r="181" spans="2:25" ht="12.75" customHeight="1">
      <c r="B181" s="89"/>
      <c r="E181" s="963"/>
      <c r="F181" s="964"/>
      <c r="G181" s="24"/>
      <c r="H181" s="85"/>
      <c r="I181" s="269"/>
      <c r="K181" s="950"/>
      <c r="L181" s="951"/>
      <c r="M181" s="952"/>
      <c r="N181" s="272"/>
      <c r="O181" s="23"/>
      <c r="P181" s="968"/>
      <c r="Q181" s="969"/>
      <c r="R181" s="969"/>
      <c r="S181" s="969"/>
      <c r="T181" s="969"/>
      <c r="U181" s="969"/>
      <c r="V181" s="970"/>
      <c r="Y181" s="89"/>
    </row>
    <row r="182" spans="2:25" ht="12.75" customHeight="1">
      <c r="B182" s="89"/>
      <c r="E182" s="873" t="s">
        <v>169</v>
      </c>
      <c r="F182" s="874"/>
      <c r="G182" s="874"/>
      <c r="H182" s="874"/>
      <c r="I182" s="761">
        <f>N172</f>
        <v>1.6479999999999999</v>
      </c>
      <c r="K182" s="932" t="s">
        <v>167</v>
      </c>
      <c r="L182" s="902"/>
      <c r="M182" s="902"/>
      <c r="N182" s="959">
        <f>Ripple_PS2_N-('Static LL'!$AK22/2)+V_Undershoot</f>
        <v>-0.40000000000000036</v>
      </c>
      <c r="O182" s="23"/>
      <c r="P182" s="968"/>
      <c r="Q182" s="969"/>
      <c r="R182" s="969"/>
      <c r="S182" s="969"/>
      <c r="T182" s="969"/>
      <c r="U182" s="969"/>
      <c r="V182" s="970"/>
      <c r="Y182" s="89"/>
    </row>
    <row r="183" spans="2:25" ht="13.5" customHeight="1" thickBot="1">
      <c r="B183" s="89"/>
      <c r="E183" s="29"/>
      <c r="F183" s="17"/>
      <c r="G183" s="17"/>
      <c r="H183" s="24"/>
      <c r="I183" s="30"/>
      <c r="K183" s="932"/>
      <c r="L183" s="902"/>
      <c r="M183" s="902"/>
      <c r="N183" s="960"/>
      <c r="O183" s="23"/>
      <c r="P183" s="968"/>
      <c r="Q183" s="969"/>
      <c r="R183" s="969"/>
      <c r="S183" s="969"/>
      <c r="T183" s="969"/>
      <c r="U183" s="969"/>
      <c r="V183" s="970"/>
      <c r="Y183" s="89"/>
    </row>
    <row r="184" spans="2:25" ht="13.5" customHeight="1">
      <c r="B184" s="89"/>
      <c r="E184" s="961"/>
      <c r="F184" s="962"/>
      <c r="G184" s="962"/>
      <c r="H184" s="962"/>
      <c r="I184" s="124"/>
      <c r="J184" s="30"/>
      <c r="K184" s="251"/>
      <c r="L184" s="270"/>
      <c r="M184" s="270"/>
      <c r="N184" s="271"/>
      <c r="O184" s="23"/>
      <c r="P184" s="968"/>
      <c r="Q184" s="969"/>
      <c r="R184" s="969"/>
      <c r="S184" s="969"/>
      <c r="T184" s="969"/>
      <c r="U184" s="969"/>
      <c r="V184" s="970"/>
      <c r="Y184" s="89"/>
    </row>
    <row r="185" spans="2:25" ht="13.5" customHeight="1" thickBot="1">
      <c r="B185" s="89"/>
      <c r="E185" s="879" t="s">
        <v>170</v>
      </c>
      <c r="F185" s="880"/>
      <c r="G185" s="880"/>
      <c r="H185" s="880"/>
      <c r="I185" s="762">
        <f>N175</f>
        <v>1.248</v>
      </c>
      <c r="K185" s="1007" t="s">
        <v>168</v>
      </c>
      <c r="L185" s="1008"/>
      <c r="M185" s="1009"/>
      <c r="N185" s="959">
        <f>Ripple_PS0-('Static LL'!$AM$80)+V_Undershoot</f>
        <v>7.6139999999999999</v>
      </c>
      <c r="O185" s="23"/>
      <c r="P185" s="971"/>
      <c r="Q185" s="972"/>
      <c r="R185" s="972"/>
      <c r="S185" s="972"/>
      <c r="T185" s="972"/>
      <c r="U185" s="972"/>
      <c r="V185" s="973"/>
      <c r="Y185" s="89"/>
    </row>
    <row r="186" spans="2:25" ht="16.5" thickBot="1">
      <c r="B186" s="89"/>
      <c r="D186" s="24"/>
      <c r="E186" s="276"/>
      <c r="F186" s="110"/>
      <c r="G186" s="110"/>
      <c r="H186" s="222"/>
      <c r="I186" s="111"/>
      <c r="J186" s="24"/>
      <c r="K186" s="992"/>
      <c r="L186" s="993"/>
      <c r="M186" s="1010"/>
      <c r="N186" s="960"/>
      <c r="O186" s="23"/>
      <c r="P186" s="73"/>
      <c r="Q186" s="73"/>
      <c r="R186" s="73"/>
      <c r="S186" s="73"/>
      <c r="T186" s="73"/>
      <c r="U186" s="73"/>
      <c r="V186" s="73"/>
      <c r="Y186" s="89"/>
    </row>
    <row r="187" spans="2:25" ht="15.75">
      <c r="B187" s="89"/>
      <c r="D187" s="24"/>
      <c r="E187" s="24"/>
      <c r="F187" s="85"/>
      <c r="G187" s="85"/>
      <c r="H187" s="87"/>
      <c r="J187" s="24"/>
      <c r="K187" s="274"/>
      <c r="L187" s="274"/>
      <c r="M187" s="274"/>
      <c r="N187" s="275"/>
      <c r="O187" s="23"/>
      <c r="P187" s="73"/>
      <c r="Q187" s="73"/>
      <c r="R187" s="73"/>
      <c r="S187" s="73"/>
      <c r="T187" s="73"/>
      <c r="U187" s="73"/>
      <c r="V187" s="73"/>
      <c r="Y187" s="89"/>
    </row>
    <row r="188" spans="2:25" ht="15.75">
      <c r="B188" s="89"/>
      <c r="D188" s="24"/>
      <c r="E188" s="884" t="s">
        <v>229</v>
      </c>
      <c r="F188" s="884"/>
      <c r="G188" s="884"/>
      <c r="H188" s="884"/>
      <c r="I188" s="884"/>
      <c r="J188" s="884"/>
      <c r="K188" s="884"/>
      <c r="L188" s="895"/>
      <c r="M188" s="220"/>
      <c r="N188" s="153" t="s">
        <v>51</v>
      </c>
      <c r="O188" s="23"/>
      <c r="P188" s="73"/>
      <c r="Q188" s="73"/>
      <c r="R188" s="73"/>
      <c r="S188" s="73"/>
      <c r="T188" s="73"/>
      <c r="U188" s="73"/>
      <c r="V188" s="73"/>
      <c r="Y188" s="89"/>
    </row>
    <row r="189" spans="2:25" ht="15.75">
      <c r="B189" s="89"/>
      <c r="D189" s="24"/>
      <c r="E189" s="998" t="s">
        <v>145</v>
      </c>
      <c r="F189" s="999"/>
      <c r="G189" s="999"/>
      <c r="H189" s="999"/>
      <c r="I189" s="999"/>
      <c r="J189" s="999"/>
      <c r="K189" s="999"/>
      <c r="L189" s="999"/>
      <c r="M189" s="1000"/>
      <c r="O189" s="23"/>
      <c r="P189" s="73"/>
      <c r="Q189" s="73"/>
      <c r="R189" s="73"/>
      <c r="S189" s="73"/>
      <c r="T189" s="73"/>
      <c r="U189" s="73"/>
      <c r="V189" s="73"/>
      <c r="Y189" s="89"/>
    </row>
    <row r="190" spans="2:25">
      <c r="B190" s="89"/>
      <c r="E190" s="1001"/>
      <c r="F190" s="1002"/>
      <c r="G190" s="1002"/>
      <c r="H190" s="1002"/>
      <c r="I190" s="1002"/>
      <c r="J190" s="1002"/>
      <c r="K190" s="1002"/>
      <c r="L190" s="1002"/>
      <c r="M190" s="1003"/>
      <c r="N190" s="154" t="s">
        <v>51</v>
      </c>
      <c r="O190" s="23"/>
      <c r="P190" s="958" t="s">
        <v>85</v>
      </c>
      <c r="Q190" s="958"/>
      <c r="R190" s="958"/>
      <c r="S190" s="958"/>
      <c r="T190" s="958"/>
      <c r="U190" s="958"/>
      <c r="V190" s="958"/>
      <c r="W190" s="96"/>
      <c r="X190" s="96"/>
      <c r="Y190" s="89"/>
    </row>
    <row r="191" spans="2:25">
      <c r="B191" s="89"/>
      <c r="H191"/>
      <c r="N191" s="122"/>
      <c r="O191" s="23"/>
      <c r="P191" s="958"/>
      <c r="Q191" s="958"/>
      <c r="R191" s="958"/>
      <c r="S191" s="958"/>
      <c r="T191" s="958"/>
      <c r="U191" s="958"/>
      <c r="V191" s="958"/>
      <c r="W191" s="154" t="s">
        <v>51</v>
      </c>
      <c r="Y191" s="89"/>
    </row>
    <row r="192" spans="2:25">
      <c r="B192" s="89"/>
      <c r="N192" s="122"/>
      <c r="P192" s="66"/>
      <c r="Q192" s="66"/>
      <c r="R192" s="66"/>
      <c r="S192" s="66"/>
      <c r="T192" s="66"/>
      <c r="U192" s="66"/>
      <c r="V192" s="66"/>
      <c r="Y192" s="89"/>
    </row>
    <row r="193" spans="1:25">
      <c r="B193" s="89"/>
      <c r="P193" s="66"/>
      <c r="Q193" s="66"/>
      <c r="R193" s="66"/>
      <c r="S193" s="66"/>
      <c r="T193" s="66"/>
      <c r="U193" s="66"/>
      <c r="V193" s="66"/>
      <c r="Y193" s="89"/>
    </row>
    <row r="194" spans="1:25" ht="12.75" customHeight="1">
      <c r="B194" s="89"/>
      <c r="C194" s="89"/>
      <c r="D194" s="89"/>
      <c r="E194" s="89"/>
      <c r="F194" s="89"/>
      <c r="G194" s="89"/>
      <c r="H194" s="95"/>
      <c r="I194" s="89"/>
      <c r="J194" s="89"/>
      <c r="K194" s="89"/>
      <c r="L194" s="89"/>
      <c r="M194" s="89"/>
      <c r="N194" s="89"/>
      <c r="O194" s="89"/>
      <c r="P194" s="93"/>
      <c r="Q194" s="93"/>
      <c r="R194" s="93"/>
      <c r="S194" s="93"/>
      <c r="T194" s="93"/>
      <c r="U194" s="93"/>
      <c r="V194" s="93"/>
      <c r="W194" s="89"/>
      <c r="X194" s="89"/>
      <c r="Y194" s="89"/>
    </row>
    <row r="195" spans="1:25">
      <c r="H195"/>
      <c r="N195" s="13"/>
      <c r="O195"/>
    </row>
    <row r="196" spans="1:25">
      <c r="H196"/>
      <c r="N196" s="13"/>
      <c r="O196"/>
    </row>
    <row r="197" spans="1:25">
      <c r="A197" s="126" t="s">
        <v>58</v>
      </c>
      <c r="B197" s="89"/>
      <c r="C197" s="89"/>
      <c r="D197" s="90"/>
      <c r="E197" s="91"/>
      <c r="F197" s="91"/>
      <c r="G197" s="91"/>
      <c r="H197" s="92"/>
      <c r="I197" s="91"/>
      <c r="J197" s="91"/>
      <c r="K197" s="93"/>
      <c r="L197" s="93"/>
      <c r="M197" s="94"/>
      <c r="N197" s="94"/>
      <c r="O197" s="93"/>
      <c r="P197" s="89"/>
      <c r="Q197" s="89"/>
      <c r="R197" s="89"/>
      <c r="S197" s="89"/>
      <c r="T197" s="89"/>
      <c r="U197" s="89"/>
      <c r="V197" s="89"/>
      <c r="W197" s="93"/>
      <c r="X197" s="93"/>
      <c r="Y197" s="89"/>
    </row>
    <row r="198" spans="1:25" ht="13.5" thickBot="1">
      <c r="A198" s="127" t="s">
        <v>51</v>
      </c>
      <c r="B198" s="89"/>
      <c r="Y198" s="89"/>
    </row>
    <row r="199" spans="1:25" ht="32.25" customHeight="1" thickBot="1">
      <c r="A199" s="128" t="s">
        <v>50</v>
      </c>
      <c r="B199" s="89"/>
      <c r="D199" s="955" t="s">
        <v>336</v>
      </c>
      <c r="E199" s="956"/>
      <c r="F199" s="956"/>
      <c r="G199" s="956"/>
      <c r="H199" s="956"/>
      <c r="I199" s="956"/>
      <c r="J199" s="956"/>
      <c r="K199" s="956"/>
      <c r="L199" s="956"/>
      <c r="M199" s="956"/>
      <c r="N199" s="956"/>
      <c r="P199" s="965" t="s">
        <v>325</v>
      </c>
      <c r="Q199" s="966"/>
      <c r="R199" s="966"/>
      <c r="S199" s="966"/>
      <c r="T199" s="966"/>
      <c r="U199" s="966"/>
      <c r="V199" s="967"/>
      <c r="Y199" s="89"/>
    </row>
    <row r="200" spans="1:25" ht="26.45" customHeight="1">
      <c r="B200" s="89"/>
      <c r="D200" s="155" t="s">
        <v>13</v>
      </c>
      <c r="E200" s="224"/>
      <c r="F200" s="237" t="s">
        <v>36</v>
      </c>
      <c r="G200" s="238"/>
      <c r="H200" s="473" t="s">
        <v>37</v>
      </c>
      <c r="I200" s="477"/>
      <c r="J200" s="989" t="s">
        <v>451</v>
      </c>
      <c r="K200" s="990"/>
      <c r="L200" s="990"/>
      <c r="M200" s="990"/>
      <c r="N200" s="991"/>
      <c r="O200"/>
      <c r="P200" s="968"/>
      <c r="Q200" s="969"/>
      <c r="R200" s="969"/>
      <c r="S200" s="969"/>
      <c r="T200" s="969"/>
      <c r="U200" s="969"/>
      <c r="V200" s="970"/>
      <c r="Y200" s="89"/>
    </row>
    <row r="201" spans="1:25" ht="12.75" customHeight="1" thickBot="1">
      <c r="B201" s="89"/>
      <c r="D201" s="159">
        <f>VID_1</f>
        <v>0.9</v>
      </c>
      <c r="E201" s="232"/>
      <c r="F201" s="243">
        <v>2</v>
      </c>
      <c r="G201" s="17"/>
      <c r="H201" s="449">
        <f>MIN(F201+I_Step_PS0_IccMAX,IccMax)</f>
        <v>60</v>
      </c>
      <c r="I201" s="481"/>
      <c r="J201" s="992"/>
      <c r="K201" s="993"/>
      <c r="L201" s="993"/>
      <c r="M201" s="993"/>
      <c r="N201" s="994"/>
      <c r="O201"/>
      <c r="P201" s="968"/>
      <c r="Q201" s="969"/>
      <c r="R201" s="969"/>
      <c r="S201" s="969"/>
      <c r="T201" s="969"/>
      <c r="U201" s="969"/>
      <c r="V201" s="970"/>
      <c r="Y201" s="89"/>
    </row>
    <row r="202" spans="1:25" ht="12.75" customHeight="1">
      <c r="B202" s="89"/>
      <c r="D202" s="294" t="s">
        <v>324</v>
      </c>
      <c r="E202" s="232"/>
      <c r="F202" s="459" t="s">
        <v>196</v>
      </c>
      <c r="G202" s="450" t="s">
        <v>395</v>
      </c>
      <c r="H202" s="450" t="s">
        <v>195</v>
      </c>
      <c r="I202" s="463" t="s">
        <v>396</v>
      </c>
      <c r="J202" s="486" t="s">
        <v>196</v>
      </c>
      <c r="K202" s="487" t="s">
        <v>395</v>
      </c>
      <c r="L202" s="488" t="s">
        <v>195</v>
      </c>
      <c r="M202" s="489" t="s">
        <v>396</v>
      </c>
      <c r="N202" s="30"/>
      <c r="O202"/>
      <c r="P202" s="968"/>
      <c r="Q202" s="969"/>
      <c r="R202" s="969"/>
      <c r="S202" s="969"/>
      <c r="T202" s="969"/>
      <c r="U202" s="969"/>
      <c r="V202" s="970"/>
      <c r="Y202" s="89"/>
    </row>
    <row r="203" spans="1:25" ht="12.75" customHeight="1">
      <c r="B203" s="89"/>
      <c r="D203" s="293">
        <f>dt</f>
        <v>65</v>
      </c>
      <c r="E203" s="232"/>
      <c r="F203" s="451">
        <v>3</v>
      </c>
      <c r="G203" s="471">
        <f>$G$11</f>
        <v>0.5</v>
      </c>
      <c r="H203" s="452">
        <v>0</v>
      </c>
      <c r="I203" s="470" t="s">
        <v>386</v>
      </c>
      <c r="J203" s="314">
        <v>3</v>
      </c>
      <c r="K203" s="573">
        <v>20</v>
      </c>
      <c r="L203" s="474">
        <v>0</v>
      </c>
      <c r="M203" s="574">
        <v>20</v>
      </c>
      <c r="N203" s="30"/>
      <c r="O203"/>
      <c r="P203" s="968"/>
      <c r="Q203" s="969"/>
      <c r="R203" s="969"/>
      <c r="S203" s="969"/>
      <c r="T203" s="969"/>
      <c r="U203" s="969"/>
      <c r="V203" s="970"/>
      <c r="Y203" s="89"/>
    </row>
    <row r="204" spans="1:25" ht="12.75" customHeight="1">
      <c r="B204" s="89"/>
      <c r="D204" s="161" t="s">
        <v>38</v>
      </c>
      <c r="E204" s="232"/>
      <c r="F204" s="29"/>
      <c r="G204" s="17"/>
      <c r="H204" s="17"/>
      <c r="I204" s="482"/>
      <c r="J204" s="974" t="s">
        <v>522</v>
      </c>
      <c r="K204" s="975"/>
      <c r="L204" s="975"/>
      <c r="M204" s="976"/>
      <c r="N204" s="67" t="s">
        <v>73</v>
      </c>
      <c r="O204"/>
      <c r="P204" s="968"/>
      <c r="Q204" s="969"/>
      <c r="R204" s="969"/>
      <c r="S204" s="969"/>
      <c r="T204" s="969"/>
      <c r="U204" s="969"/>
      <c r="V204" s="970"/>
      <c r="Y204" s="89"/>
    </row>
    <row r="205" spans="1:25" ht="16.149999999999999" customHeight="1">
      <c r="B205" s="89"/>
      <c r="D205" s="255" t="s">
        <v>385</v>
      </c>
      <c r="E205" s="235"/>
      <c r="F205" s="284" t="s">
        <v>90</v>
      </c>
      <c r="G205" s="17"/>
      <c r="H205" s="17"/>
      <c r="I205" s="30"/>
      <c r="J205" s="977"/>
      <c r="K205" s="978"/>
      <c r="L205" s="978"/>
      <c r="M205" s="979"/>
      <c r="N205" s="125">
        <v>1.6479999999999999</v>
      </c>
      <c r="O205"/>
      <c r="P205" s="968"/>
      <c r="Q205" s="969"/>
      <c r="R205" s="969"/>
      <c r="S205" s="969"/>
      <c r="T205" s="969"/>
      <c r="U205" s="969"/>
      <c r="V205" s="970"/>
      <c r="Y205" s="89"/>
    </row>
    <row r="206" spans="1:25" ht="21.75" customHeight="1">
      <c r="B206" s="89"/>
      <c r="D206" s="254" t="s">
        <v>384</v>
      </c>
      <c r="E206" s="236"/>
      <c r="F206" s="282">
        <v>0.89181600000000005</v>
      </c>
      <c r="G206" s="17"/>
      <c r="H206" s="17"/>
      <c r="I206" s="30"/>
      <c r="J206" s="980"/>
      <c r="K206" s="981"/>
      <c r="L206" s="981"/>
      <c r="M206" s="982"/>
      <c r="N206" s="13"/>
      <c r="O206"/>
      <c r="P206" s="968"/>
      <c r="Q206" s="969"/>
      <c r="R206" s="969"/>
      <c r="S206" s="969"/>
      <c r="T206" s="969"/>
      <c r="U206" s="969"/>
      <c r="V206" s="970"/>
      <c r="Y206" s="89"/>
    </row>
    <row r="207" spans="1:25" ht="90" customHeight="1">
      <c r="B207" s="89"/>
      <c r="D207" s="444" t="s">
        <v>387</v>
      </c>
      <c r="E207" s="236"/>
      <c r="F207" s="943" t="s">
        <v>92</v>
      </c>
      <c r="G207" s="995" t="s">
        <v>341</v>
      </c>
      <c r="H207" s="996"/>
      <c r="I207" s="997"/>
      <c r="O207" s="151"/>
      <c r="P207" s="968"/>
      <c r="Q207" s="969"/>
      <c r="R207" s="969"/>
      <c r="S207" s="969"/>
      <c r="T207" s="969"/>
      <c r="U207" s="969"/>
      <c r="V207" s="970"/>
      <c r="Y207" s="89"/>
    </row>
    <row r="208" spans="1:25" ht="16.149999999999999" customHeight="1">
      <c r="B208" s="89"/>
      <c r="E208" s="236"/>
      <c r="F208" s="944"/>
      <c r="G208" s="995"/>
      <c r="H208" s="996"/>
      <c r="I208" s="997"/>
      <c r="J208" s="983" t="s">
        <v>523</v>
      </c>
      <c r="K208" s="984"/>
      <c r="L208" s="984"/>
      <c r="M208" s="984"/>
      <c r="N208" s="273">
        <v>1.6479999999999999</v>
      </c>
      <c r="O208" s="151"/>
      <c r="P208" s="968"/>
      <c r="Q208" s="969"/>
      <c r="R208" s="969"/>
      <c r="S208" s="969"/>
      <c r="T208" s="969"/>
      <c r="U208" s="969"/>
      <c r="V208" s="970"/>
      <c r="Y208" s="89"/>
    </row>
    <row r="209" spans="2:25" ht="27" customHeight="1">
      <c r="B209" s="89"/>
      <c r="D209" s="96"/>
      <c r="E209" s="158"/>
      <c r="F209" s="945"/>
      <c r="G209" s="17"/>
      <c r="H209" s="17"/>
      <c r="I209" s="30"/>
      <c r="J209" s="985"/>
      <c r="K209" s="984"/>
      <c r="L209" s="984"/>
      <c r="M209" s="984"/>
      <c r="N209" s="13"/>
      <c r="O209" s="151"/>
      <c r="P209" s="968"/>
      <c r="Q209" s="969"/>
      <c r="R209" s="969"/>
      <c r="S209" s="969"/>
      <c r="T209" s="969"/>
      <c r="U209" s="969"/>
      <c r="V209" s="970"/>
      <c r="Y209" s="89"/>
    </row>
    <row r="210" spans="2:25" ht="16.149999999999999" customHeight="1" thickBot="1">
      <c r="B210" s="89"/>
      <c r="D210" s="445" t="s">
        <v>342</v>
      </c>
      <c r="E210" s="164"/>
      <c r="F210" s="283">
        <v>0.78536799999999996</v>
      </c>
      <c r="G210" s="110"/>
      <c r="H210" s="110"/>
      <c r="I210" s="111"/>
      <c r="J210" s="246"/>
      <c r="O210" s="117"/>
      <c r="P210" s="968"/>
      <c r="Q210" s="969"/>
      <c r="R210" s="969"/>
      <c r="S210" s="969"/>
      <c r="T210" s="969"/>
      <c r="U210" s="969"/>
      <c r="V210" s="970"/>
      <c r="Y210" s="89"/>
    </row>
    <row r="211" spans="2:25" ht="18.75" customHeight="1" thickBot="1">
      <c r="B211" s="89"/>
      <c r="P211" s="968"/>
      <c r="Q211" s="969"/>
      <c r="R211" s="969"/>
      <c r="S211" s="969"/>
      <c r="T211" s="969"/>
      <c r="U211" s="969"/>
      <c r="V211" s="970"/>
      <c r="Y211" s="89"/>
    </row>
    <row r="212" spans="2:25" ht="26.25" customHeight="1">
      <c r="B212" s="89"/>
      <c r="E212" s="898" t="s">
        <v>71</v>
      </c>
      <c r="F212" s="899"/>
      <c r="G212" s="899"/>
      <c r="H212" s="899"/>
      <c r="I212" s="900"/>
      <c r="K212" s="946" t="s">
        <v>40</v>
      </c>
      <c r="L212" s="947"/>
      <c r="M212" s="947"/>
      <c r="N212" s="948"/>
      <c r="O212" s="23"/>
      <c r="P212" s="968"/>
      <c r="Q212" s="969"/>
      <c r="R212" s="969"/>
      <c r="S212" s="969"/>
      <c r="T212" s="969"/>
      <c r="U212" s="969"/>
      <c r="V212" s="970"/>
      <c r="Y212" s="89"/>
    </row>
    <row r="213" spans="2:25" ht="12.75" customHeight="1">
      <c r="B213" s="89"/>
      <c r="E213" s="871" t="s">
        <v>228</v>
      </c>
      <c r="F213" s="931"/>
      <c r="G213" s="931"/>
      <c r="H213" s="872"/>
      <c r="I213" s="149">
        <f>(F206-F210)/(H201-F201)*1000</f>
        <v>1.8353103448275878</v>
      </c>
      <c r="K213" s="873" t="s">
        <v>231</v>
      </c>
      <c r="L213" s="872"/>
      <c r="M213" s="874"/>
      <c r="N213" s="148">
        <f>IF('Spec Entry'!$G$28='Spec Entry'!$A$16,R_AC_LL_max,IF('Spec Entry'!$G$28='Spec Entry'!$A$15,R_AC_LL,))</f>
        <v>2.0142857142857147</v>
      </c>
      <c r="O213" s="23"/>
      <c r="P213" s="968"/>
      <c r="Q213" s="969"/>
      <c r="R213" s="969"/>
      <c r="S213" s="969"/>
      <c r="T213" s="969"/>
      <c r="U213" s="969"/>
      <c r="V213" s="970"/>
      <c r="Y213" s="89"/>
    </row>
    <row r="214" spans="2:25" ht="12.75" customHeight="1">
      <c r="B214" s="89"/>
      <c r="E214" s="963"/>
      <c r="F214" s="964"/>
      <c r="G214" s="24"/>
      <c r="H214" s="85"/>
      <c r="I214" s="269"/>
      <c r="K214" s="950"/>
      <c r="L214" s="951"/>
      <c r="M214" s="952"/>
      <c r="N214" s="272"/>
      <c r="O214" s="23"/>
      <c r="P214" s="968"/>
      <c r="Q214" s="969"/>
      <c r="R214" s="969"/>
      <c r="S214" s="969"/>
      <c r="T214" s="969"/>
      <c r="U214" s="969"/>
      <c r="V214" s="970"/>
      <c r="Y214" s="89"/>
    </row>
    <row r="215" spans="2:25" ht="12.75" customHeight="1">
      <c r="B215" s="89"/>
      <c r="E215" s="873" t="s">
        <v>537</v>
      </c>
      <c r="F215" s="874"/>
      <c r="G215" s="874"/>
      <c r="H215" s="874"/>
      <c r="I215" s="761">
        <f>N205</f>
        <v>1.6479999999999999</v>
      </c>
      <c r="K215" s="932" t="s">
        <v>525</v>
      </c>
      <c r="L215" s="902"/>
      <c r="M215" s="902"/>
      <c r="N215" s="959">
        <f>Ripple_PS3_N-('Static LL'!$AK22/2)+V_Undershoot</f>
        <v>-0.40000000000000036</v>
      </c>
      <c r="O215" s="23"/>
      <c r="P215" s="968"/>
      <c r="Q215" s="969"/>
      <c r="R215" s="969"/>
      <c r="S215" s="969"/>
      <c r="T215" s="969"/>
      <c r="U215" s="969"/>
      <c r="V215" s="970"/>
      <c r="Y215" s="89"/>
    </row>
    <row r="216" spans="2:25" ht="13.5" customHeight="1" thickBot="1">
      <c r="B216" s="89"/>
      <c r="E216" s="29"/>
      <c r="F216" s="17"/>
      <c r="G216" s="17"/>
      <c r="H216" s="24"/>
      <c r="I216" s="30"/>
      <c r="K216" s="932"/>
      <c r="L216" s="902"/>
      <c r="M216" s="902"/>
      <c r="N216" s="960"/>
      <c r="O216" s="23"/>
      <c r="P216" s="968"/>
      <c r="Q216" s="969"/>
      <c r="R216" s="969"/>
      <c r="S216" s="969"/>
      <c r="T216" s="969"/>
      <c r="U216" s="969"/>
      <c r="V216" s="970"/>
      <c r="Y216" s="89"/>
    </row>
    <row r="217" spans="2:25" ht="13.5" customHeight="1">
      <c r="B217" s="89"/>
      <c r="E217" s="961"/>
      <c r="F217" s="962"/>
      <c r="G217" s="962"/>
      <c r="H217" s="962"/>
      <c r="I217" s="124"/>
      <c r="J217" s="30"/>
      <c r="K217" s="251"/>
      <c r="L217" s="270"/>
      <c r="M217" s="270"/>
      <c r="N217" s="271"/>
      <c r="O217" s="23"/>
      <c r="P217" s="968"/>
      <c r="Q217" s="969"/>
      <c r="R217" s="969"/>
      <c r="S217" s="969"/>
      <c r="T217" s="969"/>
      <c r="U217" s="969"/>
      <c r="V217" s="970"/>
      <c r="Y217" s="89"/>
    </row>
    <row r="218" spans="2:25" ht="13.5" customHeight="1" thickBot="1">
      <c r="B218" s="89"/>
      <c r="E218" s="879" t="s">
        <v>536</v>
      </c>
      <c r="F218" s="880"/>
      <c r="G218" s="880"/>
      <c r="H218" s="880"/>
      <c r="I218" s="762">
        <f>N208</f>
        <v>1.6479999999999999</v>
      </c>
      <c r="K218" s="932" t="s">
        <v>526</v>
      </c>
      <c r="L218" s="902"/>
      <c r="M218" s="902"/>
      <c r="N218" s="959">
        <f>Ripple_PS0-('Static LL'!$AM$109)+V_Undershoot</f>
        <v>8.8239999999999998</v>
      </c>
      <c r="O218" s="23"/>
      <c r="P218" s="971"/>
      <c r="Q218" s="972"/>
      <c r="R218" s="972"/>
      <c r="S218" s="972"/>
      <c r="T218" s="972"/>
      <c r="U218" s="972"/>
      <c r="V218" s="973"/>
      <c r="Y218" s="89"/>
    </row>
    <row r="219" spans="2:25" ht="16.5" thickBot="1">
      <c r="B219" s="89"/>
      <c r="D219" s="24"/>
      <c r="E219" s="276"/>
      <c r="F219" s="110"/>
      <c r="G219" s="110"/>
      <c r="H219" s="222"/>
      <c r="I219" s="111"/>
      <c r="J219" s="24"/>
      <c r="K219" s="903"/>
      <c r="L219" s="904"/>
      <c r="M219" s="904"/>
      <c r="N219" s="960"/>
      <c r="O219" s="23"/>
      <c r="P219" s="73"/>
      <c r="Q219" s="73"/>
      <c r="R219" s="73"/>
      <c r="S219" s="73"/>
      <c r="T219" s="73"/>
      <c r="U219" s="73"/>
      <c r="V219" s="73"/>
      <c r="Y219" s="89"/>
    </row>
    <row r="220" spans="2:25" ht="15.75">
      <c r="B220" s="89"/>
      <c r="D220" s="24"/>
      <c r="E220" s="24"/>
      <c r="F220" s="85"/>
      <c r="G220" s="85"/>
      <c r="H220" s="87"/>
      <c r="J220" s="24"/>
      <c r="K220" s="274"/>
      <c r="L220" s="274"/>
      <c r="M220" s="274"/>
      <c r="N220" s="275"/>
      <c r="O220" s="23"/>
      <c r="P220" s="73"/>
      <c r="Q220" s="73"/>
      <c r="R220" s="73"/>
      <c r="S220" s="73"/>
      <c r="T220" s="73"/>
      <c r="U220" s="73"/>
      <c r="V220" s="73"/>
      <c r="Y220" s="89"/>
    </row>
    <row r="221" spans="2:25" ht="15.75">
      <c r="B221" s="89"/>
      <c r="D221" s="24"/>
      <c r="E221" s="598" t="s">
        <v>229</v>
      </c>
      <c r="F221" s="599"/>
      <c r="G221" s="599"/>
      <c r="H221" s="599"/>
      <c r="I221" s="599"/>
      <c r="J221" s="599"/>
      <c r="K221" s="599"/>
      <c r="L221" s="599"/>
      <c r="M221" s="594"/>
      <c r="N221" s="153" t="s">
        <v>51</v>
      </c>
      <c r="O221" s="23"/>
      <c r="P221" s="73"/>
      <c r="Q221" s="73"/>
      <c r="R221" s="73"/>
      <c r="S221" s="73"/>
      <c r="T221" s="73"/>
      <c r="U221" s="73"/>
      <c r="V221" s="73"/>
      <c r="Y221" s="89"/>
    </row>
    <row r="222" spans="2:25" ht="15.6" customHeight="1">
      <c r="B222" s="89"/>
      <c r="D222" s="24"/>
      <c r="E222" s="986"/>
      <c r="F222" s="987"/>
      <c r="G222" s="987"/>
      <c r="H222" s="987"/>
      <c r="I222" s="987"/>
      <c r="J222" s="987"/>
      <c r="K222" s="987"/>
      <c r="L222" s="987"/>
      <c r="M222" s="988"/>
      <c r="O222" s="23"/>
      <c r="P222" s="73"/>
      <c r="Q222" s="73"/>
      <c r="R222" s="73"/>
      <c r="S222" s="73"/>
      <c r="T222" s="73"/>
      <c r="U222" s="73"/>
      <c r="V222" s="73"/>
      <c r="Y222" s="89"/>
    </row>
    <row r="223" spans="2:25">
      <c r="B223" s="89"/>
      <c r="E223" s="895" t="s">
        <v>145</v>
      </c>
      <c r="F223" s="896"/>
      <c r="G223" s="896"/>
      <c r="H223" s="896"/>
      <c r="I223" s="896"/>
      <c r="J223" s="896"/>
      <c r="K223" s="896"/>
      <c r="L223" s="896"/>
      <c r="M223" s="897"/>
      <c r="N223" s="154" t="s">
        <v>51</v>
      </c>
      <c r="O223" s="23"/>
      <c r="P223" s="958" t="s">
        <v>85</v>
      </c>
      <c r="Q223" s="958"/>
      <c r="R223" s="958"/>
      <c r="S223" s="958"/>
      <c r="T223" s="958"/>
      <c r="U223" s="958"/>
      <c r="V223" s="958"/>
      <c r="W223" s="96"/>
      <c r="X223" s="96"/>
      <c r="Y223" s="89"/>
    </row>
    <row r="224" spans="2:25">
      <c r="B224" s="89"/>
      <c r="H224"/>
      <c r="N224" s="122"/>
      <c r="O224" s="23"/>
      <c r="P224" s="958"/>
      <c r="Q224" s="958"/>
      <c r="R224" s="958"/>
      <c r="S224" s="958"/>
      <c r="T224" s="958"/>
      <c r="U224" s="958"/>
      <c r="V224" s="958"/>
      <c r="W224" s="154" t="s">
        <v>51</v>
      </c>
      <c r="Y224" s="89"/>
    </row>
    <row r="225" spans="2:34">
      <c r="B225" s="89"/>
      <c r="N225" s="122"/>
      <c r="P225" s="66"/>
      <c r="Q225" s="66"/>
      <c r="R225" s="66"/>
      <c r="S225" s="66"/>
      <c r="T225" s="66"/>
      <c r="U225" s="66"/>
      <c r="V225" s="66"/>
      <c r="Y225" s="89"/>
    </row>
    <row r="226" spans="2:34">
      <c r="B226" s="89"/>
      <c r="P226" s="66"/>
      <c r="Q226" s="66"/>
      <c r="R226" s="66"/>
      <c r="S226" s="66"/>
      <c r="T226" s="66"/>
      <c r="U226" s="66"/>
      <c r="V226" s="66"/>
      <c r="Y226" s="89"/>
    </row>
    <row r="227" spans="2:34" ht="12.75" customHeight="1">
      <c r="B227" s="89"/>
      <c r="C227" s="89"/>
      <c r="D227" s="89"/>
      <c r="E227" s="89"/>
      <c r="F227" s="89"/>
      <c r="G227" s="89"/>
      <c r="H227" s="95"/>
      <c r="I227" s="89"/>
      <c r="J227" s="89"/>
      <c r="K227" s="89"/>
      <c r="L227" s="89"/>
      <c r="M227" s="89"/>
      <c r="N227" s="89"/>
      <c r="O227" s="89"/>
      <c r="P227" s="93"/>
      <c r="Q227" s="93"/>
      <c r="R227" s="93"/>
      <c r="S227" s="93"/>
      <c r="T227" s="93"/>
      <c r="U227" s="93"/>
      <c r="V227" s="93"/>
      <c r="W227" s="89"/>
      <c r="X227" s="89"/>
      <c r="Y227" s="89"/>
    </row>
    <row r="228" spans="2:34">
      <c r="H228"/>
      <c r="N228" s="13"/>
      <c r="O228"/>
    </row>
    <row r="229" spans="2:34" ht="12.75" customHeight="1">
      <c r="B229" s="89"/>
      <c r="C229" s="89"/>
      <c r="D229" s="89"/>
      <c r="E229" s="89"/>
      <c r="F229" s="89"/>
      <c r="G229" s="89"/>
      <c r="H229" s="95"/>
      <c r="I229" s="89"/>
      <c r="J229" s="89"/>
      <c r="K229" s="89"/>
      <c r="L229" s="89"/>
      <c r="M229" s="89"/>
      <c r="N229" s="89"/>
      <c r="O229" s="89"/>
      <c r="P229" s="89"/>
      <c r="Q229" s="62"/>
      <c r="R229" s="62"/>
      <c r="S229" s="62"/>
      <c r="T229" s="62"/>
      <c r="U229" s="62"/>
      <c r="V229" s="62"/>
      <c r="W229" s="80"/>
      <c r="X229" s="80"/>
      <c r="Y229" s="80"/>
      <c r="Z229" s="80"/>
      <c r="AA229" s="80"/>
      <c r="AB229" s="80"/>
      <c r="AC229" s="80"/>
      <c r="AD229" s="80"/>
      <c r="AE229" s="80"/>
      <c r="AF229" s="80"/>
      <c r="AG229" s="80"/>
      <c r="AH229" s="80"/>
    </row>
    <row r="230" spans="2:34">
      <c r="B230" s="89"/>
      <c r="P230" s="89"/>
      <c r="Q230" s="80"/>
      <c r="R230" s="80"/>
      <c r="S230" s="80"/>
      <c r="T230" s="80"/>
      <c r="U230" s="80"/>
      <c r="V230" s="80"/>
      <c r="W230" s="80"/>
      <c r="X230" s="80"/>
      <c r="Y230" s="80"/>
      <c r="Z230" s="80"/>
      <c r="AA230" s="80"/>
      <c r="AB230" s="80"/>
      <c r="AC230" s="80"/>
      <c r="AD230" s="80"/>
      <c r="AE230" s="80"/>
      <c r="AF230" s="80"/>
      <c r="AG230" s="80"/>
      <c r="AH230" s="80"/>
    </row>
    <row r="231" spans="2:34" ht="37.5" customHeight="1">
      <c r="B231" s="89"/>
      <c r="D231" s="955" t="s">
        <v>96</v>
      </c>
      <c r="E231" s="956"/>
      <c r="F231" s="956"/>
      <c r="G231" s="956"/>
      <c r="H231" s="956"/>
      <c r="I231" s="956"/>
      <c r="J231" s="956"/>
      <c r="K231" s="956"/>
      <c r="L231" s="221"/>
      <c r="P231" s="89"/>
      <c r="Q231" s="139"/>
      <c r="R231" s="139"/>
      <c r="V231" s="139"/>
      <c r="W231" s="62"/>
      <c r="X231" s="62"/>
      <c r="Y231" s="62"/>
      <c r="Z231" s="139"/>
      <c r="AA231" s="139"/>
      <c r="AB231" s="139"/>
      <c r="AC231" s="139"/>
      <c r="AD231" s="139"/>
      <c r="AE231" s="139"/>
      <c r="AF231" s="139"/>
      <c r="AG231" s="62"/>
    </row>
    <row r="232" spans="2:34" ht="25.5">
      <c r="B232" s="89"/>
      <c r="D232" s="155" t="s">
        <v>13</v>
      </c>
      <c r="E232" s="156"/>
      <c r="F232" s="157" t="s">
        <v>36</v>
      </c>
      <c r="G232" s="155" t="s">
        <v>37</v>
      </c>
      <c r="I232" s="60"/>
      <c r="J232" s="134"/>
      <c r="K232" s="134"/>
      <c r="L232" s="133"/>
      <c r="P232" s="89"/>
      <c r="Q232" s="139"/>
      <c r="R232" s="139"/>
      <c r="V232" s="139"/>
      <c r="W232" s="62"/>
      <c r="X232" s="62"/>
      <c r="Y232" s="62"/>
      <c r="Z232" s="139"/>
      <c r="AA232" s="139"/>
      <c r="AB232" s="139"/>
      <c r="AC232" s="139"/>
      <c r="AD232" s="139"/>
      <c r="AE232" s="139"/>
      <c r="AF232" s="139"/>
      <c r="AG232" s="62"/>
    </row>
    <row r="233" spans="2:34" ht="15" customHeight="1">
      <c r="B233" s="89"/>
      <c r="D233" s="159">
        <f>VID_1</f>
        <v>0.9</v>
      </c>
      <c r="E233" s="233"/>
      <c r="F233" s="165">
        <f>Iccmax_PS1-I_Step_PS1</f>
        <v>2</v>
      </c>
      <c r="G233" s="166">
        <v>90</v>
      </c>
      <c r="I233" s="59"/>
      <c r="J233" s="133"/>
      <c r="K233" s="133"/>
      <c r="L233" s="133"/>
      <c r="P233" s="89"/>
      <c r="Q233" s="139"/>
      <c r="R233" s="139"/>
      <c r="V233" s="139"/>
      <c r="W233" s="62"/>
      <c r="X233" s="62"/>
      <c r="Y233" s="62"/>
      <c r="Z233" s="139"/>
      <c r="AA233" s="139"/>
      <c r="AB233" s="139"/>
      <c r="AC233" s="139"/>
      <c r="AD233" s="139"/>
      <c r="AE233" s="139"/>
      <c r="AF233" s="139"/>
      <c r="AG233" s="62"/>
    </row>
    <row r="234" spans="2:34" ht="12.75" customHeight="1">
      <c r="B234" s="89"/>
      <c r="D234" s="294" t="s">
        <v>324</v>
      </c>
      <c r="E234" s="235"/>
      <c r="F234" s="160"/>
      <c r="G234" s="160"/>
      <c r="H234" s="160"/>
      <c r="I234" s="59"/>
      <c r="J234" s="133"/>
      <c r="K234" s="133"/>
      <c r="L234" s="133"/>
      <c r="M234" s="62"/>
      <c r="N234" s="62"/>
      <c r="P234" s="89"/>
      <c r="Q234" s="139"/>
      <c r="R234" s="139"/>
      <c r="V234" s="139"/>
      <c r="W234" s="62"/>
      <c r="X234" s="62"/>
      <c r="Y234" s="62"/>
      <c r="Z234" s="139"/>
      <c r="AA234" s="139"/>
      <c r="AB234" s="139"/>
      <c r="AC234" s="139"/>
      <c r="AD234" s="139"/>
      <c r="AE234" s="139"/>
      <c r="AF234" s="139"/>
      <c r="AG234" s="62"/>
    </row>
    <row r="235" spans="2:34" ht="14.25" customHeight="1">
      <c r="B235" s="89"/>
      <c r="D235" s="293">
        <f>dt</f>
        <v>65</v>
      </c>
      <c r="E235" s="162"/>
      <c r="F235" s="167"/>
      <c r="G235" s="167"/>
      <c r="H235" s="160"/>
      <c r="I235" s="59"/>
      <c r="J235" s="130"/>
      <c r="K235" s="114"/>
      <c r="L235" s="114"/>
      <c r="M235" s="62"/>
      <c r="N235" s="62"/>
      <c r="P235" s="89"/>
      <c r="Q235" s="139"/>
      <c r="R235" s="139"/>
      <c r="V235" s="139"/>
      <c r="W235" s="62"/>
      <c r="X235" s="62"/>
      <c r="Y235" s="62"/>
      <c r="Z235" s="139"/>
      <c r="AA235" s="139"/>
      <c r="AB235" s="139"/>
      <c r="AC235" s="139"/>
      <c r="AD235" s="139"/>
      <c r="AE235" s="139"/>
      <c r="AF235" s="139"/>
      <c r="AG235" s="62"/>
    </row>
    <row r="236" spans="2:34" ht="12.75" customHeight="1">
      <c r="B236" s="89"/>
      <c r="D236" s="161" t="s">
        <v>38</v>
      </c>
      <c r="E236" s="162"/>
      <c r="F236" s="168"/>
      <c r="G236" s="168"/>
      <c r="H236" s="158"/>
      <c r="I236" s="59"/>
      <c r="J236" s="133"/>
      <c r="K236" s="133"/>
      <c r="L236" s="133"/>
      <c r="M236" s="138"/>
      <c r="N236" s="138"/>
      <c r="P236" s="89"/>
      <c r="Q236" s="139"/>
      <c r="R236" s="139"/>
      <c r="V236" s="139"/>
      <c r="W236" s="62"/>
      <c r="X236" s="62"/>
      <c r="Y236" s="62"/>
      <c r="Z236" s="139"/>
      <c r="AA236" s="139"/>
      <c r="AB236" s="139"/>
      <c r="AC236" s="139"/>
      <c r="AD236" s="139"/>
      <c r="AE236" s="139"/>
      <c r="AF236" s="139"/>
      <c r="AG236" s="62"/>
    </row>
    <row r="237" spans="2:34" ht="15" customHeight="1">
      <c r="B237" s="89"/>
      <c r="D237" s="163">
        <v>0.5</v>
      </c>
      <c r="E237" s="162"/>
      <c r="F237" s="168"/>
      <c r="G237" s="168"/>
      <c r="H237" s="158"/>
      <c r="I237" s="59"/>
      <c r="J237" s="133"/>
      <c r="K237" s="133"/>
      <c r="L237" s="133"/>
      <c r="M237" s="138"/>
      <c r="N237" s="138"/>
      <c r="P237" s="89"/>
      <c r="Q237" s="139"/>
      <c r="R237" s="139"/>
      <c r="V237" s="139"/>
      <c r="W237" s="62"/>
      <c r="X237" s="62"/>
      <c r="Y237" s="62"/>
      <c r="Z237" s="139"/>
      <c r="AA237" s="139"/>
      <c r="AB237" s="139"/>
      <c r="AC237" s="139"/>
      <c r="AD237" s="139"/>
      <c r="AE237" s="139"/>
      <c r="AF237" s="139"/>
      <c r="AG237" s="62"/>
    </row>
    <row r="238" spans="2:34" ht="12.75" customHeight="1">
      <c r="B238" s="89"/>
      <c r="D238" s="254" t="s">
        <v>134</v>
      </c>
      <c r="E238" s="60"/>
      <c r="F238" s="133"/>
      <c r="G238" s="133"/>
      <c r="H238" s="60"/>
      <c r="I238" s="60"/>
      <c r="J238" s="133"/>
      <c r="K238" s="133"/>
      <c r="L238" s="133"/>
      <c r="M238" s="138"/>
      <c r="N238" s="138"/>
      <c r="P238" s="89"/>
      <c r="Q238" s="139"/>
      <c r="R238" s="139"/>
      <c r="S238" s="139"/>
      <c r="T238" s="139"/>
      <c r="U238" s="139"/>
      <c r="V238" s="139"/>
      <c r="W238" s="62"/>
      <c r="X238" s="62"/>
      <c r="Y238" s="62"/>
      <c r="Z238" s="139"/>
      <c r="AA238" s="139"/>
      <c r="AB238" s="139"/>
      <c r="AC238" s="139"/>
      <c r="AD238" s="139"/>
      <c r="AE238" s="139"/>
      <c r="AF238" s="139"/>
      <c r="AG238" s="62"/>
    </row>
    <row r="239" spans="2:34" ht="12.75" customHeight="1">
      <c r="B239" s="89"/>
      <c r="D239" s="255" t="s">
        <v>326</v>
      </c>
      <c r="E239" s="61"/>
      <c r="F239" s="130"/>
      <c r="G239" s="130"/>
      <c r="H239" s="131"/>
      <c r="I239" s="132"/>
      <c r="J239" s="130"/>
      <c r="K239" s="131"/>
      <c r="L239" s="131"/>
      <c r="M239" s="117"/>
      <c r="N239" s="117"/>
      <c r="P239" s="89"/>
      <c r="Q239" s="139"/>
      <c r="R239" s="139"/>
      <c r="S239" s="139"/>
      <c r="T239" s="139"/>
      <c r="U239" s="139"/>
      <c r="V239" s="139"/>
      <c r="W239" s="62"/>
      <c r="X239" s="62"/>
      <c r="Y239" s="62"/>
      <c r="Z239" s="139"/>
      <c r="AA239" s="139"/>
      <c r="AB239" s="139"/>
      <c r="AC239" s="139"/>
      <c r="AD239" s="139"/>
      <c r="AE239" s="139"/>
      <c r="AF239" s="139"/>
      <c r="AG239" s="62"/>
    </row>
    <row r="240" spans="2:34" ht="13.5" customHeight="1">
      <c r="B240" s="89"/>
      <c r="P240" s="89"/>
      <c r="Q240" s="139"/>
      <c r="R240" s="139"/>
      <c r="S240" s="139"/>
      <c r="T240" s="139"/>
      <c r="U240" s="139"/>
      <c r="V240" s="139"/>
      <c r="W240" s="62"/>
      <c r="X240" s="62"/>
      <c r="Y240" s="62"/>
      <c r="Z240" s="139"/>
      <c r="AA240" s="139"/>
      <c r="AB240" s="139"/>
      <c r="AC240" s="139"/>
      <c r="AD240" s="139"/>
      <c r="AE240" s="139"/>
      <c r="AF240" s="139"/>
      <c r="AG240" s="62"/>
    </row>
    <row r="241" spans="2:35" ht="12.75" customHeight="1">
      <c r="B241" s="89"/>
      <c r="D241" s="135"/>
      <c r="E241" s="135"/>
      <c r="F241" s="135"/>
      <c r="G241" s="135"/>
      <c r="H241" s="23"/>
      <c r="I241" s="62"/>
      <c r="J241" s="135"/>
      <c r="K241" s="135"/>
      <c r="L241" s="135"/>
      <c r="M241" s="135"/>
      <c r="N241" s="135"/>
      <c r="P241" s="89"/>
      <c r="Q241" s="139"/>
      <c r="R241" s="139"/>
      <c r="S241" s="139"/>
      <c r="T241" s="139"/>
      <c r="U241" s="139"/>
      <c r="V241" s="139"/>
      <c r="W241" s="62"/>
      <c r="X241" s="62"/>
      <c r="Y241" s="62"/>
      <c r="Z241" s="139"/>
      <c r="AA241" s="139"/>
      <c r="AB241" s="139"/>
      <c r="AC241" s="139"/>
      <c r="AD241" s="139"/>
      <c r="AE241" s="139"/>
      <c r="AF241" s="139"/>
      <c r="AG241" s="62"/>
    </row>
    <row r="242" spans="2:35" ht="12.75" customHeight="1">
      <c r="B242" s="89"/>
      <c r="D242" s="135"/>
      <c r="E242" s="135"/>
      <c r="F242" s="135"/>
      <c r="G242" s="135"/>
      <c r="H242" s="136"/>
      <c r="I242" s="62"/>
      <c r="J242" s="135"/>
      <c r="K242" s="135"/>
      <c r="L242" s="135"/>
      <c r="M242" s="23"/>
      <c r="N242" s="23"/>
      <c r="P242" s="89"/>
      <c r="Q242" s="139"/>
      <c r="R242" s="139"/>
      <c r="S242" s="139"/>
      <c r="T242" s="139"/>
      <c r="U242" s="139"/>
      <c r="V242" s="139"/>
      <c r="W242" s="62"/>
      <c r="X242" s="62"/>
      <c r="Y242" s="62"/>
      <c r="Z242" s="139"/>
      <c r="AA242" s="139"/>
      <c r="AB242" s="139"/>
      <c r="AC242" s="139"/>
      <c r="AD242" s="139"/>
      <c r="AE242" s="139"/>
      <c r="AF242" s="139"/>
      <c r="AG242" s="62"/>
    </row>
    <row r="243" spans="2:35" ht="12.75" customHeight="1">
      <c r="B243" s="89"/>
      <c r="D243" s="62"/>
      <c r="E243" s="62"/>
      <c r="F243" s="23"/>
      <c r="G243" s="23"/>
      <c r="H243" s="23"/>
      <c r="I243" s="62"/>
      <c r="J243" s="135"/>
      <c r="K243" s="135"/>
      <c r="L243" s="135"/>
      <c r="M243" s="23"/>
      <c r="N243" s="23"/>
      <c r="P243" s="89"/>
      <c r="Q243" s="139"/>
      <c r="R243" s="139"/>
      <c r="S243" s="139"/>
      <c r="T243" s="139"/>
      <c r="U243" s="139"/>
      <c r="V243" s="139"/>
      <c r="W243" s="62"/>
      <c r="X243" s="62"/>
      <c r="Y243" s="62"/>
      <c r="Z243" s="139"/>
      <c r="AA243" s="139"/>
      <c r="AB243" s="139"/>
      <c r="AC243" s="139"/>
      <c r="AD243" s="139"/>
      <c r="AE243" s="139"/>
      <c r="AF243" s="139"/>
      <c r="AG243" s="62"/>
    </row>
    <row r="244" spans="2:35" ht="12.75" customHeight="1">
      <c r="B244" s="89"/>
      <c r="D244" s="135"/>
      <c r="E244" s="135"/>
      <c r="F244" s="135"/>
      <c r="G244" s="135"/>
      <c r="H244" s="137"/>
      <c r="I244" s="62"/>
      <c r="J244" s="135"/>
      <c r="K244" s="135"/>
      <c r="L244" s="135"/>
      <c r="M244" s="23"/>
      <c r="N244" s="23"/>
      <c r="P244" s="89"/>
      <c r="Q244" s="139"/>
      <c r="R244" s="139"/>
      <c r="S244" s="139"/>
      <c r="T244" s="139"/>
      <c r="U244" s="139"/>
      <c r="V244" s="139"/>
      <c r="W244" s="62"/>
      <c r="X244" s="62"/>
      <c r="Y244" s="62"/>
      <c r="Z244" s="139"/>
      <c r="AA244" s="139"/>
      <c r="AB244" s="139"/>
      <c r="AC244" s="139"/>
      <c r="AD244" s="139"/>
      <c r="AE244" s="139"/>
      <c r="AF244" s="139"/>
      <c r="AG244" s="62"/>
    </row>
    <row r="245" spans="2:35" ht="12.75" customHeight="1">
      <c r="B245" s="89"/>
      <c r="D245" s="62"/>
      <c r="E245" s="62"/>
      <c r="F245" s="62"/>
      <c r="G245" s="62"/>
      <c r="H245" s="23"/>
      <c r="I245" s="62"/>
      <c r="J245" s="62"/>
      <c r="K245" s="62"/>
      <c r="L245" s="62"/>
      <c r="M245" s="62"/>
      <c r="N245" s="62"/>
      <c r="P245" s="89"/>
      <c r="Q245" s="139"/>
      <c r="R245" s="139"/>
      <c r="S245" s="139"/>
      <c r="T245" s="139"/>
      <c r="U245" s="139"/>
      <c r="V245" s="139"/>
      <c r="W245" s="62"/>
      <c r="X245" s="62"/>
      <c r="Y245" s="62"/>
      <c r="Z245" s="139"/>
      <c r="AA245" s="139"/>
      <c r="AB245" s="139"/>
      <c r="AC245" s="139"/>
      <c r="AD245" s="139"/>
      <c r="AE245" s="139"/>
      <c r="AF245" s="139"/>
      <c r="AG245" s="62"/>
    </row>
    <row r="246" spans="2:35" ht="13.5" customHeight="1">
      <c r="B246" s="89"/>
      <c r="D246" s="135"/>
      <c r="E246" s="135"/>
      <c r="F246" s="135"/>
      <c r="G246" s="135"/>
      <c r="H246" s="137"/>
      <c r="I246" s="62"/>
      <c r="J246" s="135"/>
      <c r="K246" s="135"/>
      <c r="L246" s="135"/>
      <c r="M246" s="23"/>
      <c r="N246" s="23"/>
      <c r="O246" s="23"/>
      <c r="P246" s="89"/>
      <c r="Q246" s="139"/>
      <c r="R246" s="139"/>
      <c r="S246" s="139"/>
      <c r="T246" s="139"/>
      <c r="U246" s="139"/>
      <c r="V246" s="139"/>
      <c r="W246" s="62"/>
      <c r="X246" s="62"/>
      <c r="Y246" s="62"/>
      <c r="Z246" s="139"/>
      <c r="AA246" s="139"/>
      <c r="AB246" s="139"/>
      <c r="AC246" s="139"/>
      <c r="AD246" s="139"/>
      <c r="AE246" s="139"/>
      <c r="AF246" s="139"/>
      <c r="AG246" s="62"/>
    </row>
    <row r="247" spans="2:35" ht="13.5" customHeight="1">
      <c r="B247" s="89"/>
      <c r="D247" s="135"/>
      <c r="E247" s="135"/>
      <c r="F247" s="85"/>
      <c r="G247" s="85"/>
      <c r="H247" s="87"/>
      <c r="I247" s="62"/>
      <c r="J247" s="135"/>
      <c r="K247" s="135"/>
      <c r="L247" s="135"/>
      <c r="M247" s="23"/>
      <c r="N247" s="23"/>
      <c r="P247" s="89"/>
      <c r="Q247" s="139"/>
      <c r="R247" s="139"/>
      <c r="S247" s="139"/>
      <c r="T247" s="139"/>
      <c r="U247" s="139"/>
      <c r="V247" s="139"/>
      <c r="W247" s="62"/>
      <c r="X247" s="62"/>
      <c r="Y247" s="62"/>
      <c r="Z247" s="139"/>
      <c r="AA247" s="139"/>
      <c r="AB247" s="139"/>
      <c r="AC247" s="139"/>
      <c r="AD247" s="139"/>
      <c r="AE247" s="139"/>
      <c r="AF247" s="139"/>
      <c r="AG247" s="62"/>
    </row>
    <row r="248" spans="2:35" ht="13.5" customHeight="1">
      <c r="B248" s="89"/>
      <c r="D248" s="24"/>
      <c r="E248" s="24"/>
      <c r="F248" s="85"/>
      <c r="G248" s="85"/>
      <c r="H248" s="87"/>
      <c r="J248" s="24"/>
      <c r="K248" s="24"/>
      <c r="L248" s="24"/>
      <c r="M248" s="23"/>
      <c r="N248" s="23"/>
      <c r="P248" s="89"/>
      <c r="Q248" s="140"/>
      <c r="R248" s="140"/>
      <c r="S248" s="140"/>
      <c r="T248" s="140"/>
      <c r="U248" s="140"/>
      <c r="V248" s="140"/>
      <c r="W248" s="62"/>
      <c r="X248" s="62"/>
      <c r="Y248" s="62"/>
      <c r="Z248" s="140"/>
      <c r="AA248" s="140"/>
      <c r="AB248" s="140"/>
      <c r="AC248" s="140"/>
      <c r="AD248" s="140"/>
      <c r="AE248" s="140"/>
      <c r="AF248" s="140"/>
      <c r="AG248" s="62"/>
    </row>
    <row r="249" spans="2:35">
      <c r="B249" s="89"/>
      <c r="D249" s="1012" t="s">
        <v>84</v>
      </c>
      <c r="E249" s="1012"/>
      <c r="F249" s="1012"/>
      <c r="G249" s="1012"/>
      <c r="H249" s="1012"/>
      <c r="I249" s="1012"/>
      <c r="J249" s="1012"/>
      <c r="K249" s="1012"/>
      <c r="L249" s="1012"/>
      <c r="M249" s="1012"/>
      <c r="N249" s="153" t="s">
        <v>51</v>
      </c>
      <c r="P249" s="89"/>
      <c r="Q249" s="121"/>
      <c r="R249" s="121"/>
      <c r="S249" s="121"/>
      <c r="T249" s="121"/>
      <c r="U249" s="121"/>
      <c r="V249" s="121"/>
      <c r="W249" s="141"/>
      <c r="X249" s="141"/>
      <c r="Y249" s="141"/>
      <c r="Z249" s="121"/>
      <c r="AA249" s="121"/>
      <c r="AB249" s="121"/>
      <c r="AC249" s="121"/>
      <c r="AD249" s="121"/>
      <c r="AE249" s="121"/>
      <c r="AF249" s="121"/>
      <c r="AG249" s="141"/>
    </row>
    <row r="250" spans="2:35">
      <c r="B250" s="89"/>
      <c r="D250" s="1013"/>
      <c r="E250" s="1013"/>
      <c r="F250" s="1013"/>
      <c r="G250" s="1013"/>
      <c r="H250" s="1013"/>
      <c r="I250" s="1013"/>
      <c r="J250" s="1013"/>
      <c r="K250" s="1013"/>
      <c r="L250" s="223"/>
      <c r="M250" s="122"/>
      <c r="N250" s="122"/>
      <c r="O250" s="23"/>
      <c r="P250" s="89"/>
      <c r="Q250" s="121"/>
      <c r="R250" s="121"/>
      <c r="S250" s="121"/>
      <c r="T250" s="121"/>
      <c r="U250" s="121"/>
      <c r="V250" s="121"/>
      <c r="W250" s="122"/>
      <c r="X250" s="122"/>
      <c r="Y250" s="97"/>
      <c r="Z250" s="121"/>
      <c r="AA250" s="121"/>
      <c r="AB250" s="121"/>
      <c r="AC250" s="121"/>
      <c r="AD250" s="121"/>
      <c r="AE250" s="121"/>
      <c r="AF250" s="121"/>
      <c r="AG250" s="122"/>
    </row>
    <row r="251" spans="2:35">
      <c r="B251" s="89"/>
      <c r="D251" s="1011"/>
      <c r="E251" s="1011"/>
      <c r="F251" s="1011"/>
      <c r="G251" s="1011"/>
      <c r="H251" s="1011"/>
      <c r="I251" s="1011"/>
      <c r="J251" s="1011"/>
      <c r="K251" s="1011"/>
      <c r="L251" s="171"/>
      <c r="M251" s="122"/>
      <c r="N251" s="122"/>
      <c r="P251" s="89"/>
      <c r="Q251" s="62"/>
      <c r="R251" s="62"/>
      <c r="S251" s="62"/>
      <c r="T251" s="62"/>
      <c r="U251" s="62"/>
      <c r="V251" s="62"/>
      <c r="W251" s="62"/>
      <c r="X251" s="62"/>
      <c r="Y251" s="62"/>
      <c r="Z251" s="62"/>
      <c r="AA251" s="62"/>
      <c r="AB251" s="62"/>
      <c r="AC251" s="62"/>
      <c r="AD251" s="62"/>
      <c r="AE251" s="62"/>
      <c r="AF251" s="62"/>
      <c r="AG251" s="62"/>
    </row>
    <row r="252" spans="2:35">
      <c r="B252" s="89"/>
      <c r="P252" s="89"/>
      <c r="Q252" s="80"/>
      <c r="R252" s="80"/>
      <c r="S252" s="80"/>
      <c r="T252" s="80"/>
      <c r="U252" s="80"/>
      <c r="V252" s="80"/>
      <c r="W252" s="80"/>
      <c r="X252" s="80"/>
      <c r="Y252" s="80"/>
      <c r="Z252" s="80"/>
      <c r="AA252" s="80"/>
      <c r="AB252" s="80"/>
      <c r="AC252" s="80"/>
      <c r="AD252" s="80"/>
      <c r="AE252" s="80"/>
      <c r="AF252" s="80"/>
      <c r="AG252" s="80"/>
      <c r="AH252" s="80"/>
      <c r="AI252" s="80"/>
    </row>
    <row r="253" spans="2:35" ht="12.75" customHeight="1">
      <c r="B253" s="89"/>
      <c r="C253" s="89"/>
      <c r="D253" s="89"/>
      <c r="E253" s="89"/>
      <c r="F253" s="89"/>
      <c r="G253" s="89"/>
      <c r="H253" s="95"/>
      <c r="I253" s="89"/>
      <c r="J253" s="89"/>
      <c r="K253" s="89"/>
      <c r="L253" s="89"/>
      <c r="M253" s="89"/>
      <c r="N253" s="89"/>
      <c r="O253" s="89"/>
      <c r="P253" s="89"/>
      <c r="Q253" s="62"/>
      <c r="R253" s="62"/>
      <c r="S253" s="62"/>
      <c r="T253" s="62"/>
      <c r="U253" s="62"/>
      <c r="V253" s="62"/>
      <c r="W253" s="80"/>
      <c r="X253" s="80"/>
      <c r="Y253" s="80"/>
      <c r="Z253" s="80"/>
      <c r="AA253" s="80"/>
      <c r="AB253" s="80"/>
      <c r="AC253" s="80"/>
      <c r="AD253" s="80"/>
      <c r="AE253" s="80"/>
      <c r="AF253" s="80"/>
      <c r="AG253" s="80"/>
      <c r="AH253" s="80"/>
      <c r="AI253" s="80"/>
    </row>
  </sheetData>
  <protectedRanges>
    <protectedRange sqref="F239:L239 K56:M56 F235:L235 G86:H86 K86:M86 G82:I82 K82:M82 G56:H56 K51:M52 K210:M210 J51 G145:H145 K145:M145 G141:I141 G177:H177 G173:I173 K177:M177 G115:H115 K115:M115 G111:I111 K111:M111 G210:H210 G206:I206 G51:H52 I52" name="Range1_1"/>
    <protectedRange sqref="G13 K14 F14 F18:F19 G17 K18:K19" name="Range1_1_1"/>
    <protectedRange sqref="F56 F52" name="Range1_1_2"/>
    <protectedRange sqref="F86 F82 F115 F111" name="Range1_1_3"/>
    <protectedRange sqref="F145 F141" name="Range1_1_4"/>
    <protectedRange sqref="F177 F173 F210 F206" name="Range1_1_5"/>
  </protectedRanges>
  <dataConsolidate/>
  <mergeCells count="151">
    <mergeCell ref="P7:S7"/>
    <mergeCell ref="AM7:AS21"/>
    <mergeCell ref="Y96:AE97"/>
    <mergeCell ref="AM36:AS37"/>
    <mergeCell ref="P125:V126"/>
    <mergeCell ref="P66:V67"/>
    <mergeCell ref="P45:V64"/>
    <mergeCell ref="Y45:AE64"/>
    <mergeCell ref="P75:V94"/>
    <mergeCell ref="AD7:AJ21"/>
    <mergeCell ref="AD36:AJ37"/>
    <mergeCell ref="U36:AA37"/>
    <mergeCell ref="Y125:AE126"/>
    <mergeCell ref="Y66:AE67"/>
    <mergeCell ref="Y104:AE123"/>
    <mergeCell ref="Y75:AE94"/>
    <mergeCell ref="P96:V97"/>
    <mergeCell ref="P104:V123"/>
    <mergeCell ref="A1:W2"/>
    <mergeCell ref="K20:N20"/>
    <mergeCell ref="K21:M21"/>
    <mergeCell ref="F15:F17"/>
    <mergeCell ref="K15:K17"/>
    <mergeCell ref="E23:H23"/>
    <mergeCell ref="E20:I20"/>
    <mergeCell ref="E31:H31"/>
    <mergeCell ref="E27:H27"/>
    <mergeCell ref="E21:H21"/>
    <mergeCell ref="E28:F28"/>
    <mergeCell ref="K28:M28"/>
    <mergeCell ref="K27:M27"/>
    <mergeCell ref="E25:H25"/>
    <mergeCell ref="E30:F30"/>
    <mergeCell ref="K31:M31"/>
    <mergeCell ref="U7:AA21"/>
    <mergeCell ref="K22:M22"/>
    <mergeCell ref="E29:H29"/>
    <mergeCell ref="D7:I7"/>
    <mergeCell ref="K29:M29"/>
    <mergeCell ref="P15:P17"/>
    <mergeCell ref="R15:R17"/>
    <mergeCell ref="K7:N7"/>
    <mergeCell ref="D251:K251"/>
    <mergeCell ref="D249:M249"/>
    <mergeCell ref="D231:K231"/>
    <mergeCell ref="D250:K250"/>
    <mergeCell ref="K118:M118"/>
    <mergeCell ref="J175:M176"/>
    <mergeCell ref="K179:N179"/>
    <mergeCell ref="J143:M144"/>
    <mergeCell ref="E149:F149"/>
    <mergeCell ref="K212:N212"/>
    <mergeCell ref="D134:N134"/>
    <mergeCell ref="E153:H153"/>
    <mergeCell ref="J139:M141"/>
    <mergeCell ref="K147:N147"/>
    <mergeCell ref="K153:M154"/>
    <mergeCell ref="G142:I143"/>
    <mergeCell ref="E185:H185"/>
    <mergeCell ref="E179:I179"/>
    <mergeCell ref="E180:H180"/>
    <mergeCell ref="K149:M149"/>
    <mergeCell ref="G174:I175"/>
    <mergeCell ref="E182:H182"/>
    <mergeCell ref="K182:M183"/>
    <mergeCell ref="E181:F181"/>
    <mergeCell ref="P155:V158"/>
    <mergeCell ref="P166:V185"/>
    <mergeCell ref="F174:F176"/>
    <mergeCell ref="F142:F144"/>
    <mergeCell ref="J135:N136"/>
    <mergeCell ref="P190:V191"/>
    <mergeCell ref="D166:N166"/>
    <mergeCell ref="J167:N168"/>
    <mergeCell ref="N182:N183"/>
    <mergeCell ref="N185:N186"/>
    <mergeCell ref="K180:M180"/>
    <mergeCell ref="K181:M181"/>
    <mergeCell ref="E147:I147"/>
    <mergeCell ref="E184:H184"/>
    <mergeCell ref="P134:V153"/>
    <mergeCell ref="N153:N154"/>
    <mergeCell ref="N150:N151"/>
    <mergeCell ref="E152:H152"/>
    <mergeCell ref="E189:M190"/>
    <mergeCell ref="E188:L188"/>
    <mergeCell ref="J171:M173"/>
    <mergeCell ref="E158:M158"/>
    <mergeCell ref="E156:L156"/>
    <mergeCell ref="K185:M186"/>
    <mergeCell ref="P223:V224"/>
    <mergeCell ref="K214:M214"/>
    <mergeCell ref="E215:H215"/>
    <mergeCell ref="K215:M216"/>
    <mergeCell ref="N215:N216"/>
    <mergeCell ref="E217:H217"/>
    <mergeCell ref="E218:H218"/>
    <mergeCell ref="N218:N219"/>
    <mergeCell ref="K218:M219"/>
    <mergeCell ref="E214:F214"/>
    <mergeCell ref="P199:V218"/>
    <mergeCell ref="J204:M206"/>
    <mergeCell ref="F207:F209"/>
    <mergeCell ref="E212:I212"/>
    <mergeCell ref="J208:M209"/>
    <mergeCell ref="E213:H213"/>
    <mergeCell ref="E222:M222"/>
    <mergeCell ref="E223:M223"/>
    <mergeCell ref="J200:N201"/>
    <mergeCell ref="D199:N199"/>
    <mergeCell ref="K213:M213"/>
    <mergeCell ref="G207:I208"/>
    <mergeCell ref="E119:F119"/>
    <mergeCell ref="K23:M23"/>
    <mergeCell ref="D45:N45"/>
    <mergeCell ref="F53:F55"/>
    <mergeCell ref="K58:N58"/>
    <mergeCell ref="K59:M59"/>
    <mergeCell ref="E60:F60"/>
    <mergeCell ref="K60:M60"/>
    <mergeCell ref="E59:H59"/>
    <mergeCell ref="K119:M119"/>
    <mergeCell ref="D104:N104"/>
    <mergeCell ref="D75:N75"/>
    <mergeCell ref="E90:F90"/>
    <mergeCell ref="E89:H89"/>
    <mergeCell ref="K89:M89"/>
    <mergeCell ref="M15:M17"/>
    <mergeCell ref="D125:K125"/>
    <mergeCell ref="E148:H148"/>
    <mergeCell ref="K148:M148"/>
    <mergeCell ref="K150:M151"/>
    <mergeCell ref="D36:K36"/>
    <mergeCell ref="D37:K37"/>
    <mergeCell ref="K25:M25"/>
    <mergeCell ref="H15:H17"/>
    <mergeCell ref="D38:L38"/>
    <mergeCell ref="J51:N54"/>
    <mergeCell ref="E58:I58"/>
    <mergeCell ref="E150:H150"/>
    <mergeCell ref="F112:F114"/>
    <mergeCell ref="E117:I117"/>
    <mergeCell ref="K117:N117"/>
    <mergeCell ref="F83:F85"/>
    <mergeCell ref="K90:M90"/>
    <mergeCell ref="E118:H118"/>
    <mergeCell ref="D66:K66"/>
    <mergeCell ref="E88:I88"/>
    <mergeCell ref="K88:N88"/>
    <mergeCell ref="D96:K96"/>
    <mergeCell ref="K30:M30"/>
  </mergeCells>
  <phoneticPr fontId="8" type="noConversion"/>
  <conditionalFormatting sqref="N188 W250:Y250 AG250 N249 M250:N251 AF97:AG97 W67 M66 W97 AF67:AG67 N66:N68 N96:N98 M96 W191 W158 N156 N158:N159 N190:N192 AK37:AL37 AT37 AB37 M36:S38">
    <cfRule type="cellIs" dxfId="101" priority="19" stopIfTrue="1" operator="equal">
      <formula>"No"</formula>
    </cfRule>
    <cfRule type="cellIs" dxfId="100" priority="20" stopIfTrue="1" operator="equal">
      <formula>"Yes"</formula>
    </cfRule>
  </conditionalFormatting>
  <conditionalFormatting sqref="K239:L239 M56 H239 K18:K19">
    <cfRule type="cellIs" dxfId="99" priority="21" stopIfTrue="1" operator="equal">
      <formula>TRUE</formula>
    </cfRule>
  </conditionalFormatting>
  <conditionalFormatting sqref="AF126:AG126 W126 N125:N127 M125">
    <cfRule type="cellIs" dxfId="98" priority="6" stopIfTrue="1" operator="equal">
      <formula>"No"</formula>
    </cfRule>
    <cfRule type="cellIs" dxfId="97" priority="7" stopIfTrue="1" operator="equal">
      <formula>"Yes"</formula>
    </cfRule>
  </conditionalFormatting>
  <conditionalFormatting sqref="N221 W224 N223:N225">
    <cfRule type="cellIs" dxfId="96" priority="1" stopIfTrue="1" operator="equal">
      <formula>"No"</formula>
    </cfRule>
    <cfRule type="cellIs" dxfId="95" priority="2" stopIfTrue="1" operator="equal">
      <formula>"Yes"</formula>
    </cfRule>
  </conditionalFormatting>
  <dataValidations count="1">
    <dataValidation type="list" allowBlank="1" showInputMessage="1" showErrorMessage="1" sqref="W250:Y250 AB37 M36:M38 AK37:AL37 AT37 W126 AF126:AG126 M125 N190 N188 AG250 N249 W97 AF97:AG97 M66 M250:M251 W67 W191 AF67:AG67 M96 W158 N156 N158 N223 N221 W224">
      <formula1>$A$5:$A$7</formula1>
    </dataValidation>
  </dataValidation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Sheet8">
    <tabColor rgb="FF00B0F0"/>
  </sheetPr>
  <dimension ref="A1:AH222"/>
  <sheetViews>
    <sheetView zoomScale="70" zoomScaleNormal="70" workbookViewId="0">
      <selection activeCell="H48" sqref="H48:K49"/>
    </sheetView>
  </sheetViews>
  <sheetFormatPr defaultRowHeight="12.75"/>
  <cols>
    <col min="2" max="2" width="2.7109375" customWidth="1"/>
    <col min="4" max="4" width="11.28515625" customWidth="1"/>
    <col min="5" max="5" width="10.7109375" customWidth="1"/>
    <col min="6" max="6" width="7.5703125" customWidth="1"/>
    <col min="7" max="7" width="8.5703125" customWidth="1"/>
    <col min="8" max="8" width="11.28515625" customWidth="1"/>
    <col min="9" max="9" width="7.85546875" customWidth="1"/>
    <col min="10" max="10" width="12.85546875" customWidth="1"/>
    <col min="11" max="11" width="13.28515625" customWidth="1"/>
    <col min="12" max="12" width="16.5703125" style="13" customWidth="1"/>
    <col min="13" max="13" width="12.28515625" customWidth="1"/>
    <col min="14" max="14" width="9.5703125" customWidth="1"/>
    <col min="15" max="15" width="4.42578125" customWidth="1"/>
    <col min="34" max="34" width="3.140625" customWidth="1"/>
  </cols>
  <sheetData>
    <row r="1" spans="1:34" ht="12.75" customHeight="1">
      <c r="A1" s="814" t="s">
        <v>0</v>
      </c>
      <c r="B1" s="815"/>
      <c r="C1" s="815"/>
      <c r="D1" s="815"/>
      <c r="E1" s="815"/>
      <c r="F1" s="815"/>
      <c r="G1" s="815"/>
      <c r="H1" s="815"/>
      <c r="I1" s="815"/>
      <c r="J1" s="815"/>
      <c r="K1" s="815"/>
      <c r="L1" s="815"/>
      <c r="M1" s="815"/>
      <c r="N1" s="815"/>
      <c r="O1" s="815"/>
      <c r="P1" s="815"/>
      <c r="Q1" s="815"/>
      <c r="R1" s="815"/>
      <c r="S1" s="815"/>
      <c r="T1" s="815"/>
      <c r="U1" s="815"/>
      <c r="V1" s="815"/>
      <c r="W1" s="36"/>
    </row>
    <row r="2" spans="1:34" ht="12.75" customHeight="1">
      <c r="A2" s="814"/>
      <c r="B2" s="815"/>
      <c r="C2" s="815"/>
      <c r="D2" s="815"/>
      <c r="E2" s="815"/>
      <c r="F2" s="815"/>
      <c r="G2" s="815"/>
      <c r="H2" s="815"/>
      <c r="I2" s="815"/>
      <c r="J2" s="815"/>
      <c r="K2" s="815"/>
      <c r="L2" s="815"/>
      <c r="M2" s="815"/>
      <c r="N2" s="815"/>
      <c r="O2" s="815"/>
      <c r="P2" s="815"/>
      <c r="Q2" s="815"/>
      <c r="R2" s="815"/>
      <c r="S2" s="815"/>
      <c r="T2" s="815"/>
      <c r="U2" s="815"/>
      <c r="V2" s="815"/>
      <c r="W2" s="36"/>
    </row>
    <row r="5" spans="1:34">
      <c r="A5" s="126" t="s">
        <v>58</v>
      </c>
      <c r="B5" s="89"/>
      <c r="C5" s="89"/>
      <c r="D5" s="90"/>
      <c r="E5" s="91"/>
      <c r="F5" s="91"/>
      <c r="G5" s="91"/>
      <c r="H5" s="92"/>
      <c r="I5" s="91"/>
      <c r="J5" s="91"/>
      <c r="K5" s="93"/>
      <c r="L5" s="145"/>
      <c r="M5" s="93"/>
      <c r="N5" s="93"/>
      <c r="O5" s="93"/>
      <c r="P5" s="89"/>
      <c r="Q5" s="89"/>
      <c r="R5" s="89"/>
      <c r="S5" s="89"/>
      <c r="T5" s="89"/>
      <c r="U5" s="89"/>
      <c r="V5" s="89"/>
      <c r="W5" s="93"/>
      <c r="X5" s="93"/>
      <c r="Y5" s="89"/>
      <c r="Z5" s="89"/>
      <c r="AA5" s="89"/>
      <c r="AB5" s="89"/>
      <c r="AC5" s="89"/>
      <c r="AD5" s="89"/>
      <c r="AE5" s="89"/>
      <c r="AF5" s="89"/>
      <c r="AG5" s="89"/>
      <c r="AH5" s="89"/>
    </row>
    <row r="6" spans="1:34" ht="13.5" thickBot="1">
      <c r="A6" s="127" t="s">
        <v>51</v>
      </c>
      <c r="B6" s="89"/>
      <c r="H6" s="13"/>
      <c r="M6" s="80"/>
      <c r="N6" s="80"/>
      <c r="O6" s="80"/>
      <c r="AH6" s="89"/>
    </row>
    <row r="7" spans="1:34" ht="32.25" customHeight="1">
      <c r="A7" s="128" t="s">
        <v>50</v>
      </c>
      <c r="B7" s="89"/>
      <c r="D7" s="955" t="s">
        <v>189</v>
      </c>
      <c r="E7" s="956"/>
      <c r="F7" s="956"/>
      <c r="G7" s="956"/>
      <c r="H7" s="956"/>
      <c r="I7" s="956"/>
      <c r="J7" s="956"/>
      <c r="K7" s="956"/>
      <c r="M7" s="80"/>
      <c r="N7" s="80"/>
      <c r="O7" s="80"/>
      <c r="P7" s="965" t="s">
        <v>74</v>
      </c>
      <c r="Q7" s="966"/>
      <c r="R7" s="966"/>
      <c r="S7" s="966"/>
      <c r="T7" s="966"/>
      <c r="U7" s="966"/>
      <c r="V7" s="967"/>
      <c r="Y7" s="965" t="s">
        <v>75</v>
      </c>
      <c r="Z7" s="966"/>
      <c r="AA7" s="966"/>
      <c r="AB7" s="966"/>
      <c r="AC7" s="966"/>
      <c r="AD7" s="966"/>
      <c r="AE7" s="967"/>
      <c r="AH7" s="89"/>
    </row>
    <row r="8" spans="1:34" ht="15.75">
      <c r="A8" s="88"/>
      <c r="B8" s="89"/>
      <c r="D8" s="225"/>
      <c r="E8" s="226"/>
      <c r="F8" s="289"/>
      <c r="G8" s="116"/>
      <c r="H8" s="116"/>
      <c r="I8" s="116"/>
      <c r="J8" s="116"/>
      <c r="K8" s="116"/>
      <c r="L8" s="67" t="s">
        <v>88</v>
      </c>
      <c r="M8" s="260" t="s">
        <v>197</v>
      </c>
      <c r="O8" s="23"/>
      <c r="P8" s="968"/>
      <c r="Q8" s="969"/>
      <c r="R8" s="969"/>
      <c r="S8" s="969"/>
      <c r="T8" s="969"/>
      <c r="U8" s="969"/>
      <c r="V8" s="970"/>
      <c r="Y8" s="968"/>
      <c r="Z8" s="969"/>
      <c r="AA8" s="969"/>
      <c r="AB8" s="969"/>
      <c r="AC8" s="969"/>
      <c r="AD8" s="969"/>
      <c r="AE8" s="970"/>
      <c r="AH8" s="89"/>
    </row>
    <row r="9" spans="1:34" ht="12.75" customHeight="1">
      <c r="B9" s="89"/>
      <c r="D9" s="227" t="s">
        <v>171</v>
      </c>
      <c r="E9" s="228">
        <f>VID_1</f>
        <v>0.9</v>
      </c>
      <c r="F9" s="289"/>
      <c r="H9" s="1033" t="str">
        <f>"Static voltage level at "&amp;E9&amp;"V"</f>
        <v>Static voltage level at 0.9V</v>
      </c>
      <c r="I9" s="975"/>
      <c r="J9" s="975"/>
      <c r="K9" s="976"/>
      <c r="L9"/>
      <c r="O9" s="123"/>
      <c r="P9" s="968"/>
      <c r="Q9" s="969"/>
      <c r="R9" s="969"/>
      <c r="S9" s="969"/>
      <c r="T9" s="969"/>
      <c r="U9" s="969"/>
      <c r="V9" s="970"/>
      <c r="Y9" s="968"/>
      <c r="Z9" s="969"/>
      <c r="AA9" s="969"/>
      <c r="AB9" s="969"/>
      <c r="AC9" s="969"/>
      <c r="AD9" s="969"/>
      <c r="AE9" s="970"/>
      <c r="AH9" s="89"/>
    </row>
    <row r="10" spans="1:34" ht="12.75" customHeight="1">
      <c r="B10" s="89"/>
      <c r="D10" s="227" t="s">
        <v>172</v>
      </c>
      <c r="E10" s="228">
        <f>VID_2</f>
        <v>0.6</v>
      </c>
      <c r="F10" s="289"/>
      <c r="H10" s="1034"/>
      <c r="I10" s="981"/>
      <c r="J10" s="981"/>
      <c r="K10" s="982"/>
      <c r="L10" s="309">
        <f>E9</f>
        <v>0.9</v>
      </c>
      <c r="M10" s="308">
        <v>0.88400000000000001</v>
      </c>
      <c r="O10" s="123"/>
      <c r="P10" s="968"/>
      <c r="Q10" s="969"/>
      <c r="R10" s="969"/>
      <c r="S10" s="969"/>
      <c r="T10" s="969"/>
      <c r="U10" s="969"/>
      <c r="V10" s="970"/>
      <c r="Y10" s="968"/>
      <c r="Z10" s="969"/>
      <c r="AA10" s="969"/>
      <c r="AB10" s="969"/>
      <c r="AC10" s="969"/>
      <c r="AD10" s="969"/>
      <c r="AE10" s="970"/>
      <c r="AH10" s="89"/>
    </row>
    <row r="11" spans="1:34" ht="12.75" customHeight="1">
      <c r="B11" s="89"/>
      <c r="D11" s="229" t="s">
        <v>173</v>
      </c>
      <c r="E11" s="552">
        <f>IF(VR_TDC*0.3&lt;2,2,VR_TDC*0.3)</f>
        <v>14.399999999999999</v>
      </c>
      <c r="F11" s="231"/>
      <c r="M11" s="13"/>
      <c r="O11" s="13"/>
      <c r="P11" s="968"/>
      <c r="Q11" s="969"/>
      <c r="R11" s="969"/>
      <c r="S11" s="969"/>
      <c r="T11" s="969"/>
      <c r="U11" s="969"/>
      <c r="V11" s="970"/>
      <c r="Y11" s="968"/>
      <c r="Z11" s="969"/>
      <c r="AA11" s="969"/>
      <c r="AB11" s="969"/>
      <c r="AC11" s="969"/>
      <c r="AD11" s="969"/>
      <c r="AE11" s="970"/>
      <c r="AH11" s="89"/>
    </row>
    <row r="12" spans="1:34" ht="12.75" customHeight="1">
      <c r="B12" s="89"/>
      <c r="D12" s="229" t="s">
        <v>174</v>
      </c>
      <c r="E12" s="230" t="s">
        <v>177</v>
      </c>
      <c r="F12" s="59"/>
      <c r="G12" s="114"/>
      <c r="H12" s="1033" t="s">
        <v>114</v>
      </c>
      <c r="I12" s="975"/>
      <c r="J12" s="975"/>
      <c r="K12" s="976"/>
      <c r="L12" s="67" t="str">
        <f>$E$9&amp;" to "&amp;$E$10</f>
        <v>0.9 to 0.6</v>
      </c>
      <c r="M12" s="118">
        <v>18.239999999999998</v>
      </c>
      <c r="P12" s="968"/>
      <c r="Q12" s="969"/>
      <c r="R12" s="969"/>
      <c r="S12" s="969"/>
      <c r="T12" s="969"/>
      <c r="U12" s="969"/>
      <c r="V12" s="970"/>
      <c r="Y12" s="968"/>
      <c r="Z12" s="969"/>
      <c r="AA12" s="969"/>
      <c r="AB12" s="969"/>
      <c r="AC12" s="969"/>
      <c r="AD12" s="969"/>
      <c r="AE12" s="970"/>
      <c r="AH12" s="89"/>
    </row>
    <row r="13" spans="1:34" ht="12.75" customHeight="1">
      <c r="B13" s="89"/>
      <c r="D13" s="229" t="s">
        <v>176</v>
      </c>
      <c r="E13" s="230" t="s">
        <v>177</v>
      </c>
      <c r="G13" s="114"/>
      <c r="H13" s="1034"/>
      <c r="I13" s="981"/>
      <c r="J13" s="981"/>
      <c r="K13" s="982"/>
      <c r="L13" s="67" t="str">
        <f>$E$10&amp;" to "&amp;$E$9</f>
        <v>0.6 to 0.9</v>
      </c>
      <c r="M13" s="118">
        <v>18.28</v>
      </c>
      <c r="O13" s="119"/>
      <c r="P13" s="968"/>
      <c r="Q13" s="969"/>
      <c r="R13" s="969"/>
      <c r="S13" s="969"/>
      <c r="T13" s="969"/>
      <c r="U13" s="969"/>
      <c r="V13" s="970"/>
      <c r="Y13" s="968"/>
      <c r="Z13" s="969"/>
      <c r="AA13" s="969"/>
      <c r="AB13" s="969"/>
      <c r="AC13" s="969"/>
      <c r="AD13" s="969"/>
      <c r="AE13" s="970"/>
      <c r="AH13" s="89"/>
    </row>
    <row r="14" spans="1:34" ht="12.75" customHeight="1">
      <c r="B14" s="89"/>
      <c r="D14" s="229" t="s">
        <v>195</v>
      </c>
      <c r="E14" s="290">
        <v>0</v>
      </c>
      <c r="G14" s="114"/>
      <c r="M14" s="768"/>
      <c r="O14" s="119"/>
      <c r="P14" s="968"/>
      <c r="Q14" s="969"/>
      <c r="R14" s="969"/>
      <c r="S14" s="969"/>
      <c r="T14" s="969"/>
      <c r="U14" s="969"/>
      <c r="V14" s="970"/>
      <c r="Y14" s="968"/>
      <c r="Z14" s="969"/>
      <c r="AA14" s="969"/>
      <c r="AB14" s="969"/>
      <c r="AC14" s="969"/>
      <c r="AD14" s="969"/>
      <c r="AE14" s="970"/>
      <c r="AH14" s="89"/>
    </row>
    <row r="15" spans="1:34" ht="12.75" customHeight="1">
      <c r="B15" s="89"/>
      <c r="D15" s="229" t="s">
        <v>196</v>
      </c>
      <c r="E15" s="290">
        <v>0</v>
      </c>
      <c r="F15" s="17"/>
      <c r="G15" s="114"/>
      <c r="H15" s="1033" t="str">
        <f>"Voltage level "&amp;dVID_Settle&amp;"us after ALERT# assertion"</f>
        <v>Voltage level 1us after ALERT# assertion</v>
      </c>
      <c r="I15" s="975"/>
      <c r="J15" s="975"/>
      <c r="K15" s="976"/>
      <c r="L15"/>
      <c r="O15" s="119"/>
      <c r="P15" s="968"/>
      <c r="Q15" s="969"/>
      <c r="R15" s="969"/>
      <c r="S15" s="969"/>
      <c r="T15" s="969"/>
      <c r="U15" s="969"/>
      <c r="V15" s="970"/>
      <c r="Y15" s="968"/>
      <c r="Z15" s="969"/>
      <c r="AA15" s="969"/>
      <c r="AB15" s="969"/>
      <c r="AC15" s="969"/>
      <c r="AD15" s="969"/>
      <c r="AE15" s="970"/>
      <c r="AH15" s="89"/>
    </row>
    <row r="16" spans="1:34" ht="12.75" customHeight="1">
      <c r="B16" s="89"/>
      <c r="E16" s="114"/>
      <c r="F16" s="114"/>
      <c r="H16" s="1034"/>
      <c r="I16" s="981"/>
      <c r="J16" s="981"/>
      <c r="K16" s="982"/>
      <c r="L16" s="67" t="str">
        <f>$E$10&amp;" to "&amp;$E$9</f>
        <v>0.6 to 0.9</v>
      </c>
      <c r="M16" s="308">
        <v>0.868336</v>
      </c>
      <c r="O16" s="80"/>
      <c r="P16" s="968"/>
      <c r="Q16" s="969"/>
      <c r="R16" s="969"/>
      <c r="S16" s="969"/>
      <c r="T16" s="969"/>
      <c r="U16" s="969"/>
      <c r="V16" s="970"/>
      <c r="Y16" s="968"/>
      <c r="Z16" s="969"/>
      <c r="AA16" s="969"/>
      <c r="AB16" s="969"/>
      <c r="AC16" s="969"/>
      <c r="AD16" s="969"/>
      <c r="AE16" s="970"/>
      <c r="AH16" s="89"/>
    </row>
    <row r="17" spans="2:34" ht="12.75" customHeight="1">
      <c r="B17" s="89"/>
      <c r="N17" s="80"/>
      <c r="O17" s="80"/>
      <c r="P17" s="968"/>
      <c r="Q17" s="969"/>
      <c r="R17" s="969"/>
      <c r="S17" s="969"/>
      <c r="T17" s="969"/>
      <c r="U17" s="969"/>
      <c r="V17" s="970"/>
      <c r="Y17" s="968"/>
      <c r="Z17" s="969"/>
      <c r="AA17" s="969"/>
      <c r="AB17" s="969"/>
      <c r="AC17" s="969"/>
      <c r="AD17" s="969"/>
      <c r="AE17" s="970"/>
      <c r="AH17" s="89"/>
    </row>
    <row r="18" spans="2:34" ht="13.5" customHeight="1">
      <c r="B18" s="89"/>
      <c r="H18" s="1033" t="s">
        <v>317</v>
      </c>
      <c r="I18" s="975"/>
      <c r="J18" s="975"/>
      <c r="K18" s="976"/>
      <c r="L18"/>
      <c r="N18" s="80"/>
      <c r="O18" s="80"/>
      <c r="P18" s="968"/>
      <c r="Q18" s="969"/>
      <c r="R18" s="969"/>
      <c r="S18" s="969"/>
      <c r="T18" s="969"/>
      <c r="U18" s="969"/>
      <c r="V18" s="970"/>
      <c r="Y18" s="968"/>
      <c r="Z18" s="969"/>
      <c r="AA18" s="969"/>
      <c r="AB18" s="969"/>
      <c r="AC18" s="969"/>
      <c r="AD18" s="969"/>
      <c r="AE18" s="970"/>
      <c r="AH18" s="89"/>
    </row>
    <row r="19" spans="2:34" ht="12.75" customHeight="1">
      <c r="B19" s="89"/>
      <c r="H19" s="1034"/>
      <c r="I19" s="981"/>
      <c r="J19" s="981"/>
      <c r="K19" s="982"/>
      <c r="L19" s="67" t="str">
        <f>$E$9&amp;" to "&amp;$E$10</f>
        <v>0.9 to 0.6</v>
      </c>
      <c r="M19" s="308">
        <v>0</v>
      </c>
      <c r="N19" s="146"/>
      <c r="O19" s="146"/>
      <c r="P19" s="968"/>
      <c r="Q19" s="969"/>
      <c r="R19" s="969"/>
      <c r="S19" s="969"/>
      <c r="T19" s="969"/>
      <c r="U19" s="969"/>
      <c r="V19" s="970"/>
      <c r="Y19" s="968"/>
      <c r="Z19" s="969"/>
      <c r="AA19" s="969"/>
      <c r="AB19" s="969"/>
      <c r="AC19" s="969"/>
      <c r="AD19" s="969"/>
      <c r="AE19" s="970"/>
      <c r="AH19" s="89"/>
    </row>
    <row r="20" spans="2:34" ht="12.75" customHeight="1" thickBot="1">
      <c r="B20" s="89"/>
      <c r="N20" s="146"/>
      <c r="O20" s="146"/>
      <c r="P20" s="968"/>
      <c r="Q20" s="969"/>
      <c r="R20" s="969"/>
      <c r="S20" s="969"/>
      <c r="T20" s="969"/>
      <c r="U20" s="969"/>
      <c r="V20" s="970"/>
      <c r="Y20" s="968"/>
      <c r="Z20" s="969"/>
      <c r="AA20" s="969"/>
      <c r="AB20" s="969"/>
      <c r="AC20" s="969"/>
      <c r="AD20" s="969"/>
      <c r="AE20" s="970"/>
      <c r="AH20" s="89"/>
    </row>
    <row r="21" spans="2:34" ht="12.75" customHeight="1">
      <c r="B21" s="89"/>
      <c r="D21" s="925" t="s">
        <v>72</v>
      </c>
      <c r="E21" s="926"/>
      <c r="F21" s="926"/>
      <c r="G21" s="926"/>
      <c r="H21" s="927"/>
      <c r="J21" s="1035" t="s">
        <v>40</v>
      </c>
      <c r="K21" s="1036"/>
      <c r="L21" s="1036"/>
      <c r="M21" s="1037"/>
      <c r="N21" s="23"/>
      <c r="O21" s="23"/>
      <c r="P21" s="968"/>
      <c r="Q21" s="969"/>
      <c r="R21" s="969"/>
      <c r="S21" s="969"/>
      <c r="T21" s="969"/>
      <c r="U21" s="969"/>
      <c r="V21" s="970"/>
      <c r="Y21" s="968"/>
      <c r="Z21" s="969"/>
      <c r="AA21" s="969"/>
      <c r="AB21" s="969"/>
      <c r="AC21" s="969"/>
      <c r="AD21" s="969"/>
      <c r="AE21" s="970"/>
      <c r="AH21" s="89"/>
    </row>
    <row r="22" spans="2:34" ht="12.75" customHeight="1">
      <c r="B22" s="89"/>
      <c r="D22" s="1022" t="s">
        <v>115</v>
      </c>
      <c r="E22" s="931"/>
      <c r="F22" s="931"/>
      <c r="G22" s="872"/>
      <c r="H22" s="183">
        <f>MAX(M12,M13)</f>
        <v>18.28</v>
      </c>
      <c r="J22" s="1022" t="s">
        <v>116</v>
      </c>
      <c r="K22" s="931"/>
      <c r="L22" s="872"/>
      <c r="M22" s="184">
        <f>(E9-E10)/(SetVID_Slow*0.001)</f>
        <v>20.000000000000004</v>
      </c>
      <c r="N22" s="23"/>
      <c r="O22" s="23"/>
      <c r="P22" s="968"/>
      <c r="Q22" s="969"/>
      <c r="R22" s="969"/>
      <c r="S22" s="969"/>
      <c r="T22" s="969"/>
      <c r="U22" s="969"/>
      <c r="V22" s="970"/>
      <c r="Y22" s="968"/>
      <c r="Z22" s="969"/>
      <c r="AA22" s="969"/>
      <c r="AB22" s="969"/>
      <c r="AC22" s="969"/>
      <c r="AD22" s="969"/>
      <c r="AE22" s="970"/>
      <c r="AH22" s="89"/>
    </row>
    <row r="23" spans="2:34" ht="13.5" customHeight="1">
      <c r="B23" s="89"/>
      <c r="D23" s="29"/>
      <c r="E23" s="17"/>
      <c r="F23" s="17"/>
      <c r="G23" s="17"/>
      <c r="H23" s="30"/>
      <c r="J23" s="29"/>
      <c r="K23" s="17"/>
      <c r="L23" s="24"/>
      <c r="M23" s="30"/>
      <c r="N23" s="23"/>
      <c r="O23" s="23"/>
      <c r="P23" s="968"/>
      <c r="Q23" s="969"/>
      <c r="R23" s="969"/>
      <c r="S23" s="969"/>
      <c r="T23" s="969"/>
      <c r="U23" s="969"/>
      <c r="V23" s="970"/>
      <c r="Y23" s="968"/>
      <c r="Z23" s="969"/>
      <c r="AA23" s="969"/>
      <c r="AB23" s="969"/>
      <c r="AC23" s="969"/>
      <c r="AD23" s="969"/>
      <c r="AE23" s="970"/>
      <c r="AH23" s="89"/>
    </row>
    <row r="24" spans="2:34" ht="13.5" thickBot="1">
      <c r="B24" s="89"/>
      <c r="D24" s="873" t="str">
        <f>"Voltage change "&amp;dVID_Settle&amp;"us after ALERT to settled"</f>
        <v>Voltage change 1us after ALERT to settled</v>
      </c>
      <c r="E24" s="874"/>
      <c r="F24" s="874"/>
      <c r="G24" s="874"/>
      <c r="H24" s="416">
        <f>(M10-M16)*1000</f>
        <v>15.664000000000012</v>
      </c>
      <c r="I24" s="13"/>
      <c r="J24" s="873" t="s">
        <v>237</v>
      </c>
      <c r="K24" s="874"/>
      <c r="L24" s="874"/>
      <c r="M24" s="415">
        <f>V_TOB_IMAX_in_PS0-V_TOB_Imin+Ripple_PS0</f>
        <v>30</v>
      </c>
      <c r="P24" s="971"/>
      <c r="Q24" s="972"/>
      <c r="R24" s="972"/>
      <c r="S24" s="972"/>
      <c r="T24" s="972"/>
      <c r="U24" s="972"/>
      <c r="V24" s="973"/>
      <c r="Y24" s="971"/>
      <c r="Z24" s="972"/>
      <c r="AA24" s="972"/>
      <c r="AB24" s="972"/>
      <c r="AC24" s="972"/>
      <c r="AD24" s="972"/>
      <c r="AE24" s="973"/>
      <c r="AH24" s="89"/>
    </row>
    <row r="25" spans="2:34" ht="15.75">
      <c r="B25" s="89"/>
      <c r="D25" s="29"/>
      <c r="E25" s="17"/>
      <c r="F25" s="17"/>
      <c r="G25" s="17"/>
      <c r="H25" s="30"/>
      <c r="J25" s="29"/>
      <c r="K25" s="17"/>
      <c r="L25" s="24"/>
      <c r="M25" s="30"/>
      <c r="N25" s="23"/>
      <c r="O25" s="23"/>
      <c r="P25" s="73"/>
      <c r="Q25" s="73"/>
      <c r="R25" s="73"/>
      <c r="S25" s="73"/>
      <c r="T25" s="73"/>
      <c r="U25" s="73"/>
      <c r="V25" s="73"/>
      <c r="Y25" s="73"/>
      <c r="Z25" s="73"/>
      <c r="AA25" s="73"/>
      <c r="AB25" s="73"/>
      <c r="AC25" s="73"/>
      <c r="AD25" s="73"/>
      <c r="AE25" s="73"/>
      <c r="AH25" s="89"/>
    </row>
    <row r="26" spans="2:34" ht="13.5" customHeight="1" thickBot="1">
      <c r="B26" s="89"/>
      <c r="D26" s="879" t="s">
        <v>318</v>
      </c>
      <c r="E26" s="880"/>
      <c r="F26" s="880"/>
      <c r="G26" s="880"/>
      <c r="H26" s="307">
        <f>M19</f>
        <v>0</v>
      </c>
      <c r="I26" s="13"/>
      <c r="J26" s="879" t="s">
        <v>319</v>
      </c>
      <c r="K26" s="880"/>
      <c r="L26" s="880"/>
      <c r="M26" s="306">
        <f>V_Undershoot</f>
        <v>0</v>
      </c>
      <c r="N26" s="23"/>
      <c r="O26" s="23"/>
      <c r="P26" s="73"/>
      <c r="Q26" s="73"/>
      <c r="R26" s="73"/>
      <c r="S26" s="73"/>
      <c r="T26" s="73"/>
      <c r="U26" s="73"/>
      <c r="V26" s="73"/>
      <c r="Y26" s="73"/>
      <c r="Z26" s="73"/>
      <c r="AA26" s="73"/>
      <c r="AB26" s="73"/>
      <c r="AC26" s="73"/>
      <c r="AD26" s="73"/>
      <c r="AE26" s="73"/>
      <c r="AH26" s="89"/>
    </row>
    <row r="27" spans="2:34" ht="12.75" customHeight="1">
      <c r="B27" s="89"/>
      <c r="M27" s="23"/>
      <c r="N27" s="23"/>
      <c r="O27" s="23"/>
      <c r="P27" s="958" t="s">
        <v>76</v>
      </c>
      <c r="Q27" s="958"/>
      <c r="R27" s="958"/>
      <c r="S27" s="958"/>
      <c r="T27" s="958"/>
      <c r="U27" s="958"/>
      <c r="V27" s="958"/>
      <c r="W27" s="96"/>
      <c r="X27" s="96"/>
      <c r="Y27" s="958" t="s">
        <v>77</v>
      </c>
      <c r="Z27" s="958"/>
      <c r="AA27" s="958"/>
      <c r="AB27" s="958"/>
      <c r="AC27" s="958"/>
      <c r="AD27" s="958"/>
      <c r="AE27" s="958"/>
      <c r="AF27" s="96"/>
      <c r="AH27" s="89"/>
    </row>
    <row r="28" spans="2:34" ht="12.75" customHeight="1">
      <c r="B28" s="89"/>
      <c r="D28" s="884" t="s">
        <v>117</v>
      </c>
      <c r="E28" s="884"/>
      <c r="F28" s="884"/>
      <c r="G28" s="884"/>
      <c r="H28" s="884"/>
      <c r="I28" s="884"/>
      <c r="J28" s="884"/>
      <c r="K28" s="884"/>
      <c r="L28" s="153" t="s">
        <v>51</v>
      </c>
      <c r="N28" s="23"/>
      <c r="O28" s="23"/>
      <c r="P28" s="958"/>
      <c r="Q28" s="958"/>
      <c r="R28" s="958"/>
      <c r="S28" s="958"/>
      <c r="T28" s="958"/>
      <c r="U28" s="958"/>
      <c r="V28" s="958"/>
      <c r="W28" s="96"/>
      <c r="X28" s="96"/>
      <c r="Y28" s="958"/>
      <c r="Z28" s="958"/>
      <c r="AA28" s="958"/>
      <c r="AB28" s="958"/>
      <c r="AC28" s="958"/>
      <c r="AD28" s="958"/>
      <c r="AE28" s="958"/>
      <c r="AF28" s="96"/>
      <c r="AH28" s="89"/>
    </row>
    <row r="29" spans="2:34">
      <c r="B29" s="89"/>
      <c r="D29" s="895" t="str">
        <f>"Is the voltage change from "&amp;dVID_Settle&amp;"us to Settled less than the TOB value?"</f>
        <v>Is the voltage change from 1us to Settled less than the TOB value?</v>
      </c>
      <c r="E29" s="896"/>
      <c r="F29" s="896"/>
      <c r="G29" s="896"/>
      <c r="H29" s="896"/>
      <c r="I29" s="896"/>
      <c r="J29" s="896"/>
      <c r="K29" s="897"/>
      <c r="L29" s="153" t="s">
        <v>51</v>
      </c>
      <c r="M29" s="23"/>
      <c r="N29" s="23"/>
      <c r="O29" s="23"/>
      <c r="P29" s="958"/>
      <c r="Q29" s="958"/>
      <c r="R29" s="958"/>
      <c r="S29" s="958"/>
      <c r="T29" s="958"/>
      <c r="U29" s="958"/>
      <c r="V29" s="958"/>
      <c r="W29" s="154" t="s">
        <v>51</v>
      </c>
      <c r="X29" s="97"/>
      <c r="Y29" s="958"/>
      <c r="Z29" s="958"/>
      <c r="AA29" s="958"/>
      <c r="AB29" s="958"/>
      <c r="AC29" s="958"/>
      <c r="AD29" s="958"/>
      <c r="AE29" s="958"/>
      <c r="AF29" s="154" t="s">
        <v>51</v>
      </c>
      <c r="AH29" s="89"/>
    </row>
    <row r="30" spans="2:34">
      <c r="B30" s="89"/>
      <c r="D30" s="895" t="s">
        <v>320</v>
      </c>
      <c r="E30" s="896"/>
      <c r="F30" s="896"/>
      <c r="G30" s="896"/>
      <c r="H30" s="896"/>
      <c r="I30" s="896"/>
      <c r="J30" s="896"/>
      <c r="K30" s="897"/>
      <c r="L30" s="153" t="s">
        <v>51</v>
      </c>
      <c r="M30" s="23"/>
      <c r="N30" s="23"/>
      <c r="O30" s="23"/>
      <c r="AH30" s="89"/>
    </row>
    <row r="31" spans="2:34">
      <c r="B31" s="89"/>
      <c r="H31" s="13"/>
      <c r="M31" s="80"/>
      <c r="N31" s="80"/>
      <c r="O31" s="80"/>
      <c r="P31" s="66"/>
      <c r="Q31" s="66"/>
      <c r="R31" s="66"/>
      <c r="S31" s="66"/>
      <c r="T31" s="66"/>
      <c r="U31" s="66"/>
      <c r="V31" s="66"/>
      <c r="AH31" s="89"/>
    </row>
    <row r="32" spans="2:34" ht="12.75" customHeight="1">
      <c r="B32" s="89"/>
      <c r="C32" s="89"/>
      <c r="D32" s="89"/>
      <c r="E32" s="89"/>
      <c r="F32" s="89"/>
      <c r="G32" s="89"/>
      <c r="H32" s="95"/>
      <c r="I32" s="89"/>
      <c r="J32" s="89"/>
      <c r="K32" s="89"/>
      <c r="L32" s="95"/>
      <c r="M32" s="89"/>
      <c r="N32" s="89"/>
      <c r="O32" s="89"/>
      <c r="P32" s="93"/>
      <c r="Q32" s="93"/>
      <c r="R32" s="93"/>
      <c r="S32" s="93"/>
      <c r="T32" s="93"/>
      <c r="U32" s="93"/>
      <c r="V32" s="93"/>
      <c r="W32" s="89"/>
      <c r="X32" s="89"/>
      <c r="Y32" s="89"/>
      <c r="Z32" s="89"/>
      <c r="AA32" s="89"/>
      <c r="AB32" s="89"/>
      <c r="AC32" s="89"/>
      <c r="AD32" s="89"/>
      <c r="AE32" s="89"/>
      <c r="AF32" s="89"/>
      <c r="AG32" s="89"/>
      <c r="AH32" s="89"/>
    </row>
    <row r="33" spans="1:34">
      <c r="H33" s="13"/>
      <c r="M33" s="80"/>
      <c r="N33" s="80"/>
      <c r="O33" s="80"/>
    </row>
    <row r="35" spans="1:34">
      <c r="A35" s="126" t="s">
        <v>58</v>
      </c>
      <c r="B35" s="89"/>
      <c r="C35" s="89"/>
      <c r="D35" s="90"/>
      <c r="E35" s="91"/>
      <c r="F35" s="91"/>
      <c r="G35" s="91"/>
      <c r="H35" s="92"/>
      <c r="I35" s="91"/>
      <c r="J35" s="91"/>
      <c r="K35" s="93"/>
      <c r="L35" s="145"/>
      <c r="M35" s="93"/>
      <c r="N35" s="93"/>
      <c r="O35" s="93"/>
      <c r="P35" s="89"/>
      <c r="Q35" s="89"/>
      <c r="R35" s="89"/>
      <c r="S35" s="89"/>
      <c r="T35" s="89"/>
      <c r="U35" s="89"/>
      <c r="V35" s="89"/>
      <c r="W35" s="93"/>
      <c r="X35" s="93"/>
      <c r="Y35" s="89"/>
      <c r="Z35" s="89"/>
      <c r="AA35" s="89"/>
      <c r="AB35" s="89"/>
      <c r="AC35" s="89"/>
      <c r="AD35" s="89"/>
      <c r="AE35" s="89"/>
      <c r="AF35" s="89"/>
      <c r="AG35" s="89"/>
      <c r="AH35" s="89"/>
    </row>
    <row r="36" spans="1:34" ht="13.5" thickBot="1">
      <c r="A36" s="127" t="s">
        <v>51</v>
      </c>
      <c r="B36" s="89"/>
      <c r="H36" s="13"/>
      <c r="M36" s="80"/>
      <c r="N36" s="80"/>
      <c r="O36" s="80"/>
      <c r="AH36" s="89"/>
    </row>
    <row r="37" spans="1:34" ht="32.25" customHeight="1">
      <c r="A37" s="128" t="s">
        <v>50</v>
      </c>
      <c r="B37" s="89"/>
      <c r="D37" s="955" t="s">
        <v>198</v>
      </c>
      <c r="E37" s="956"/>
      <c r="F37" s="956"/>
      <c r="G37" s="956"/>
      <c r="H37" s="956"/>
      <c r="I37" s="956"/>
      <c r="J37" s="956"/>
      <c r="K37" s="956"/>
      <c r="M37" s="80"/>
      <c r="N37" s="80"/>
      <c r="O37" s="80"/>
      <c r="P37" s="965" t="s">
        <v>74</v>
      </c>
      <c r="Q37" s="966"/>
      <c r="R37" s="966"/>
      <c r="S37" s="966"/>
      <c r="T37" s="966"/>
      <c r="U37" s="966"/>
      <c r="V37" s="967"/>
      <c r="Y37" s="965" t="s">
        <v>75</v>
      </c>
      <c r="Z37" s="966"/>
      <c r="AA37" s="966"/>
      <c r="AB37" s="966"/>
      <c r="AC37" s="966"/>
      <c r="AD37" s="966"/>
      <c r="AE37" s="967"/>
      <c r="AH37" s="89"/>
    </row>
    <row r="38" spans="1:34" ht="15.75">
      <c r="A38" s="88"/>
      <c r="B38" s="89"/>
      <c r="D38" s="225"/>
      <c r="E38" s="226"/>
      <c r="F38" s="289"/>
      <c r="G38" s="116"/>
      <c r="H38" s="116"/>
      <c r="I38" s="116"/>
      <c r="J38" s="116"/>
      <c r="K38" s="116"/>
      <c r="L38" s="67"/>
      <c r="M38" s="260" t="s">
        <v>197</v>
      </c>
      <c r="O38" s="23"/>
      <c r="P38" s="968"/>
      <c r="Q38" s="969"/>
      <c r="R38" s="969"/>
      <c r="S38" s="969"/>
      <c r="T38" s="969"/>
      <c r="U38" s="969"/>
      <c r="V38" s="970"/>
      <c r="Y38" s="968"/>
      <c r="Z38" s="969"/>
      <c r="AA38" s="969"/>
      <c r="AB38" s="969"/>
      <c r="AC38" s="969"/>
      <c r="AD38" s="969"/>
      <c r="AE38" s="970"/>
      <c r="AH38" s="89"/>
    </row>
    <row r="39" spans="1:34" ht="12.75" customHeight="1">
      <c r="B39" s="89"/>
      <c r="D39" s="227" t="s">
        <v>171</v>
      </c>
      <c r="E39" s="228">
        <f>VID_1</f>
        <v>0.9</v>
      </c>
      <c r="F39" s="289"/>
      <c r="H39" s="1033" t="str">
        <f>"Static voltage level at "&amp;E39&amp;"V"</f>
        <v>Static voltage level at 0.9V</v>
      </c>
      <c r="I39" s="975"/>
      <c r="J39" s="975"/>
      <c r="K39" s="976"/>
      <c r="L39"/>
      <c r="O39" s="123"/>
      <c r="P39" s="968"/>
      <c r="Q39" s="969"/>
      <c r="R39" s="969"/>
      <c r="S39" s="969"/>
      <c r="T39" s="969"/>
      <c r="U39" s="969"/>
      <c r="V39" s="970"/>
      <c r="Y39" s="968"/>
      <c r="Z39" s="969"/>
      <c r="AA39" s="969"/>
      <c r="AB39" s="969"/>
      <c r="AC39" s="969"/>
      <c r="AD39" s="969"/>
      <c r="AE39" s="970"/>
      <c r="AH39" s="89"/>
    </row>
    <row r="40" spans="1:34" ht="12.75" customHeight="1">
      <c r="B40" s="89"/>
      <c r="D40" s="227" t="s">
        <v>172</v>
      </c>
      <c r="E40" s="228">
        <f>VID_2</f>
        <v>0.6</v>
      </c>
      <c r="F40" s="289"/>
      <c r="H40" s="1034"/>
      <c r="I40" s="981"/>
      <c r="J40" s="981"/>
      <c r="K40" s="982"/>
      <c r="L40" s="309">
        <f>E39</f>
        <v>0.9</v>
      </c>
      <c r="M40" s="308">
        <v>0.88480000000000003</v>
      </c>
      <c r="O40" s="123"/>
      <c r="P40" s="968"/>
      <c r="Q40" s="969"/>
      <c r="R40" s="969"/>
      <c r="S40" s="969"/>
      <c r="T40" s="969"/>
      <c r="U40" s="969"/>
      <c r="V40" s="970"/>
      <c r="Y40" s="968"/>
      <c r="Z40" s="969"/>
      <c r="AA40" s="969"/>
      <c r="AB40" s="969"/>
      <c r="AC40" s="969"/>
      <c r="AD40" s="969"/>
      <c r="AE40" s="970"/>
      <c r="AH40" s="89"/>
    </row>
    <row r="41" spans="1:34" ht="12.75" customHeight="1">
      <c r="B41" s="89"/>
      <c r="D41" s="229" t="s">
        <v>173</v>
      </c>
      <c r="E41" s="552">
        <f>IF(VR_TDC*0.3&lt;2,2,VR_TDC*0.3)</f>
        <v>14.399999999999999</v>
      </c>
      <c r="F41" s="231"/>
      <c r="M41" s="13"/>
      <c r="O41" s="13"/>
      <c r="P41" s="968"/>
      <c r="Q41" s="969"/>
      <c r="R41" s="969"/>
      <c r="S41" s="969"/>
      <c r="T41" s="969"/>
      <c r="U41" s="969"/>
      <c r="V41" s="970"/>
      <c r="Y41" s="968"/>
      <c r="Z41" s="969"/>
      <c r="AA41" s="969"/>
      <c r="AB41" s="969"/>
      <c r="AC41" s="969"/>
      <c r="AD41" s="969"/>
      <c r="AE41" s="970"/>
      <c r="AH41" s="89"/>
    </row>
    <row r="42" spans="1:34" ht="12.75" customHeight="1">
      <c r="B42" s="89"/>
      <c r="D42" s="229" t="s">
        <v>174</v>
      </c>
      <c r="E42" s="230" t="str">
        <f>IF(M51="Yes","Fast",IF(M51="No","Slow","See Below"))</f>
        <v>Fast</v>
      </c>
      <c r="F42" s="59"/>
      <c r="G42" s="114"/>
      <c r="H42" s="1033" t="s">
        <v>114</v>
      </c>
      <c r="I42" s="975"/>
      <c r="J42" s="975"/>
      <c r="K42" s="976"/>
      <c r="L42" s="67" t="str">
        <f>$E$39&amp;" to "&amp;$E$40</f>
        <v>0.9 to 0.6</v>
      </c>
      <c r="M42" s="118">
        <v>9.4529999999999994</v>
      </c>
      <c r="P42" s="968"/>
      <c r="Q42" s="969"/>
      <c r="R42" s="969"/>
      <c r="S42" s="969"/>
      <c r="T42" s="969"/>
      <c r="U42" s="969"/>
      <c r="V42" s="970"/>
      <c r="Y42" s="968"/>
      <c r="Z42" s="969"/>
      <c r="AA42" s="969"/>
      <c r="AB42" s="969"/>
      <c r="AC42" s="969"/>
      <c r="AD42" s="969"/>
      <c r="AE42" s="970"/>
      <c r="AH42" s="89"/>
    </row>
    <row r="43" spans="1:34" ht="12.75" customHeight="1">
      <c r="B43" s="89"/>
      <c r="D43" s="229" t="s">
        <v>176</v>
      </c>
      <c r="E43" s="230" t="s">
        <v>175</v>
      </c>
      <c r="G43" s="114"/>
      <c r="H43" s="1034"/>
      <c r="I43" s="981"/>
      <c r="J43" s="981"/>
      <c r="K43" s="982"/>
      <c r="L43" s="67" t="str">
        <f>$E$40&amp;" to "&amp;$E$39</f>
        <v>0.6 to 0.9</v>
      </c>
      <c r="M43" s="118">
        <v>9.4009999999999998</v>
      </c>
      <c r="O43" s="119"/>
      <c r="P43" s="968"/>
      <c r="Q43" s="969"/>
      <c r="R43" s="969"/>
      <c r="S43" s="969"/>
      <c r="T43" s="969"/>
      <c r="U43" s="969"/>
      <c r="V43" s="970"/>
      <c r="Y43" s="968"/>
      <c r="Z43" s="969"/>
      <c r="AA43" s="969"/>
      <c r="AB43" s="969"/>
      <c r="AC43" s="969"/>
      <c r="AD43" s="969"/>
      <c r="AE43" s="970"/>
      <c r="AH43" s="89"/>
    </row>
    <row r="44" spans="1:34" ht="12.75" customHeight="1">
      <c r="B44" s="89"/>
      <c r="D44" s="229" t="s">
        <v>195</v>
      </c>
      <c r="E44" s="290">
        <v>0</v>
      </c>
      <c r="G44" s="114"/>
      <c r="O44" s="119"/>
      <c r="P44" s="968"/>
      <c r="Q44" s="969"/>
      <c r="R44" s="969"/>
      <c r="S44" s="969"/>
      <c r="T44" s="969"/>
      <c r="U44" s="969"/>
      <c r="V44" s="970"/>
      <c r="Y44" s="968"/>
      <c r="Z44" s="969"/>
      <c r="AA44" s="969"/>
      <c r="AB44" s="969"/>
      <c r="AC44" s="969"/>
      <c r="AD44" s="969"/>
      <c r="AE44" s="970"/>
      <c r="AH44" s="89"/>
    </row>
    <row r="45" spans="1:34" ht="12.75" customHeight="1">
      <c r="B45" s="89"/>
      <c r="D45" s="229" t="s">
        <v>196</v>
      </c>
      <c r="E45" s="290">
        <v>0</v>
      </c>
      <c r="F45" s="17"/>
      <c r="G45" s="114"/>
      <c r="H45" s="1033" t="str">
        <f>"Voltage level "&amp;dVID_Settle&amp;" us after ALERT# assertion"</f>
        <v>Voltage level 1 us after ALERT# assertion</v>
      </c>
      <c r="I45" s="975"/>
      <c r="J45" s="975"/>
      <c r="K45" s="976"/>
      <c r="L45"/>
      <c r="O45" s="119"/>
      <c r="P45" s="968"/>
      <c r="Q45" s="969"/>
      <c r="R45" s="969"/>
      <c r="S45" s="969"/>
      <c r="T45" s="969"/>
      <c r="U45" s="969"/>
      <c r="V45" s="970"/>
      <c r="Y45" s="968"/>
      <c r="Z45" s="969"/>
      <c r="AA45" s="969"/>
      <c r="AB45" s="969"/>
      <c r="AC45" s="969"/>
      <c r="AD45" s="969"/>
      <c r="AE45" s="970"/>
      <c r="AH45" s="89"/>
    </row>
    <row r="46" spans="1:34" ht="12.75" customHeight="1">
      <c r="B46" s="89"/>
      <c r="E46" s="114"/>
      <c r="F46" s="114"/>
      <c r="H46" s="1034"/>
      <c r="I46" s="981"/>
      <c r="J46" s="981"/>
      <c r="K46" s="982"/>
      <c r="L46" s="67" t="str">
        <f>$E$40&amp;" to "&amp;$E$39</f>
        <v>0.6 to 0.9</v>
      </c>
      <c r="M46" s="308">
        <v>0.86739999999999995</v>
      </c>
      <c r="O46" s="80"/>
      <c r="P46" s="968"/>
      <c r="Q46" s="969"/>
      <c r="R46" s="969"/>
      <c r="S46" s="969"/>
      <c r="T46" s="969"/>
      <c r="U46" s="969"/>
      <c r="V46" s="970"/>
      <c r="Y46" s="968"/>
      <c r="Z46" s="969"/>
      <c r="AA46" s="969"/>
      <c r="AB46" s="969"/>
      <c r="AC46" s="969"/>
      <c r="AD46" s="969"/>
      <c r="AE46" s="970"/>
      <c r="AH46" s="89"/>
    </row>
    <row r="47" spans="1:34" ht="12.75" customHeight="1">
      <c r="B47" s="89"/>
      <c r="E47" s="114"/>
      <c r="F47" s="114"/>
      <c r="L47"/>
      <c r="O47" s="80"/>
      <c r="P47" s="968"/>
      <c r="Q47" s="969"/>
      <c r="R47" s="969"/>
      <c r="S47" s="969"/>
      <c r="T47" s="969"/>
      <c r="U47" s="969"/>
      <c r="V47" s="970"/>
      <c r="Y47" s="968"/>
      <c r="Z47" s="969"/>
      <c r="AA47" s="969"/>
      <c r="AB47" s="969"/>
      <c r="AC47" s="969"/>
      <c r="AD47" s="969"/>
      <c r="AE47" s="970"/>
      <c r="AH47" s="89"/>
    </row>
    <row r="48" spans="1:34" ht="12.75" customHeight="1">
      <c r="B48" s="89"/>
      <c r="E48" s="114"/>
      <c r="F48" s="114"/>
      <c r="H48" s="1033" t="s">
        <v>317</v>
      </c>
      <c r="I48" s="975"/>
      <c r="J48" s="975"/>
      <c r="K48" s="976"/>
      <c r="L48"/>
      <c r="O48" s="80"/>
      <c r="P48" s="968"/>
      <c r="Q48" s="969"/>
      <c r="R48" s="969"/>
      <c r="S48" s="969"/>
      <c r="T48" s="969"/>
      <c r="U48" s="969"/>
      <c r="V48" s="970"/>
      <c r="Y48" s="968"/>
      <c r="Z48" s="969"/>
      <c r="AA48" s="969"/>
      <c r="AB48" s="969"/>
      <c r="AC48" s="969"/>
      <c r="AD48" s="969"/>
      <c r="AE48" s="970"/>
      <c r="AH48" s="89"/>
    </row>
    <row r="49" spans="2:34" ht="12.75" customHeight="1">
      <c r="B49" s="89"/>
      <c r="E49" s="114"/>
      <c r="F49" s="114"/>
      <c r="H49" s="1034"/>
      <c r="I49" s="981"/>
      <c r="J49" s="981"/>
      <c r="K49" s="982"/>
      <c r="L49" s="67" t="str">
        <f>$E$39&amp;" to "&amp;$E$40</f>
        <v>0.9 to 0.6</v>
      </c>
      <c r="M49" s="308">
        <v>0</v>
      </c>
      <c r="O49" s="80"/>
      <c r="P49" s="968"/>
      <c r="Q49" s="969"/>
      <c r="R49" s="969"/>
      <c r="S49" s="969"/>
      <c r="T49" s="969"/>
      <c r="U49" s="969"/>
      <c r="V49" s="970"/>
      <c r="Y49" s="968"/>
      <c r="Z49" s="969"/>
      <c r="AA49" s="969"/>
      <c r="AB49" s="969"/>
      <c r="AC49" s="969"/>
      <c r="AD49" s="969"/>
      <c r="AE49" s="970"/>
      <c r="AH49" s="89"/>
    </row>
    <row r="50" spans="2:34" ht="12.75" customHeight="1">
      <c r="B50" s="89"/>
      <c r="N50" s="80"/>
      <c r="O50" s="80"/>
      <c r="P50" s="968"/>
      <c r="Q50" s="969"/>
      <c r="R50" s="969"/>
      <c r="S50" s="969"/>
      <c r="T50" s="969"/>
      <c r="U50" s="969"/>
      <c r="V50" s="970"/>
      <c r="Y50" s="968"/>
      <c r="Z50" s="969"/>
      <c r="AA50" s="969"/>
      <c r="AB50" s="969"/>
      <c r="AC50" s="969"/>
      <c r="AD50" s="969"/>
      <c r="AE50" s="970"/>
      <c r="AH50" s="89"/>
    </row>
    <row r="51" spans="2:34" ht="13.5" customHeight="1">
      <c r="B51" s="89"/>
      <c r="D51" s="1044" t="s">
        <v>238</v>
      </c>
      <c r="E51" s="1044"/>
      <c r="F51" s="1044"/>
      <c r="G51" s="1044"/>
      <c r="H51" s="1044"/>
      <c r="I51" s="1044"/>
      <c r="J51" s="1044"/>
      <c r="K51" s="1044"/>
      <c r="L51" s="1044"/>
      <c r="M51" s="312" t="s">
        <v>51</v>
      </c>
      <c r="N51" s="80"/>
      <c r="O51" s="80"/>
      <c r="P51" s="968"/>
      <c r="Q51" s="969"/>
      <c r="R51" s="969"/>
      <c r="S51" s="969"/>
      <c r="T51" s="969"/>
      <c r="U51" s="969"/>
      <c r="V51" s="970"/>
      <c r="Y51" s="968"/>
      <c r="Z51" s="969"/>
      <c r="AA51" s="969"/>
      <c r="AB51" s="969"/>
      <c r="AC51" s="969"/>
      <c r="AD51" s="969"/>
      <c r="AE51" s="970"/>
      <c r="AH51" s="89"/>
    </row>
    <row r="52" spans="2:34" ht="12.75" customHeight="1" thickBot="1">
      <c r="B52" s="89"/>
      <c r="N52" s="146"/>
      <c r="O52" s="146"/>
      <c r="P52" s="968"/>
      <c r="Q52" s="969"/>
      <c r="R52" s="969"/>
      <c r="S52" s="969"/>
      <c r="T52" s="969"/>
      <c r="U52" s="969"/>
      <c r="V52" s="970"/>
      <c r="Y52" s="968"/>
      <c r="Z52" s="969"/>
      <c r="AA52" s="969"/>
      <c r="AB52" s="969"/>
      <c r="AC52" s="969"/>
      <c r="AD52" s="969"/>
      <c r="AE52" s="970"/>
      <c r="AH52" s="89"/>
    </row>
    <row r="53" spans="2:34" ht="12.75" customHeight="1">
      <c r="B53" s="89"/>
      <c r="D53" s="925" t="s">
        <v>72</v>
      </c>
      <c r="E53" s="926"/>
      <c r="F53" s="926"/>
      <c r="G53" s="926"/>
      <c r="H53" s="927"/>
      <c r="J53" s="1035" t="s">
        <v>40</v>
      </c>
      <c r="K53" s="1036"/>
      <c r="L53" s="1036"/>
      <c r="M53" s="1037"/>
      <c r="N53" s="146"/>
      <c r="O53" s="146"/>
      <c r="P53" s="968"/>
      <c r="Q53" s="969"/>
      <c r="R53" s="969"/>
      <c r="S53" s="969"/>
      <c r="T53" s="969"/>
      <c r="U53" s="969"/>
      <c r="V53" s="970"/>
      <c r="Y53" s="968"/>
      <c r="Z53" s="969"/>
      <c r="AA53" s="969"/>
      <c r="AB53" s="969"/>
      <c r="AC53" s="969"/>
      <c r="AD53" s="969"/>
      <c r="AE53" s="970"/>
      <c r="AH53" s="89"/>
    </row>
    <row r="54" spans="2:34" ht="12.75" customHeight="1">
      <c r="B54" s="89"/>
      <c r="D54" s="1022" t="s">
        <v>115</v>
      </c>
      <c r="E54" s="931"/>
      <c r="F54" s="931"/>
      <c r="G54" s="872"/>
      <c r="H54" s="183">
        <f>IF(E42="Fast",MAX(M42,M43),M43)</f>
        <v>9.4529999999999994</v>
      </c>
      <c r="J54" s="1022" t="s">
        <v>116</v>
      </c>
      <c r="K54" s="931"/>
      <c r="L54" s="872"/>
      <c r="M54" s="184">
        <f>(E39-E40)/(SetVID_FAST*0.001)</f>
        <v>10.000000000000002</v>
      </c>
      <c r="N54" s="146"/>
      <c r="O54" s="146"/>
      <c r="P54" s="968"/>
      <c r="Q54" s="969"/>
      <c r="R54" s="969"/>
      <c r="S54" s="969"/>
      <c r="T54" s="969"/>
      <c r="U54" s="969"/>
      <c r="V54" s="970"/>
      <c r="Y54" s="968"/>
      <c r="Z54" s="969"/>
      <c r="AA54" s="969"/>
      <c r="AB54" s="969"/>
      <c r="AC54" s="969"/>
      <c r="AD54" s="969"/>
      <c r="AE54" s="970"/>
      <c r="AH54" s="89"/>
    </row>
    <row r="55" spans="2:34" ht="12.75" customHeight="1">
      <c r="B55" s="89"/>
      <c r="D55" s="29"/>
      <c r="E55" s="17"/>
      <c r="F55" s="17"/>
      <c r="G55" s="17"/>
      <c r="H55" s="30"/>
      <c r="J55" s="29"/>
      <c r="K55" s="17"/>
      <c r="L55" s="24"/>
      <c r="M55" s="30"/>
      <c r="N55" s="23"/>
      <c r="O55" s="23"/>
      <c r="P55" s="968"/>
      <c r="Q55" s="969"/>
      <c r="R55" s="969"/>
      <c r="S55" s="969"/>
      <c r="T55" s="969"/>
      <c r="U55" s="969"/>
      <c r="V55" s="970"/>
      <c r="Y55" s="968"/>
      <c r="Z55" s="969"/>
      <c r="AA55" s="969"/>
      <c r="AB55" s="969"/>
      <c r="AC55" s="969"/>
      <c r="AD55" s="969"/>
      <c r="AE55" s="970"/>
      <c r="AH55" s="89"/>
    </row>
    <row r="56" spans="2:34" ht="12.75" customHeight="1">
      <c r="B56" s="89"/>
      <c r="D56" s="873" t="str">
        <f>"Voltage change "&amp;dVID_Settle&amp;"us after ALERT to settled"</f>
        <v>Voltage change 1us after ALERT to settled</v>
      </c>
      <c r="E56" s="874"/>
      <c r="F56" s="874"/>
      <c r="G56" s="874"/>
      <c r="H56" s="416">
        <f>(M40-M46)*1000</f>
        <v>17.400000000000084</v>
      </c>
      <c r="I56" s="13"/>
      <c r="J56" s="873" t="s">
        <v>237</v>
      </c>
      <c r="K56" s="874"/>
      <c r="L56" s="874"/>
      <c r="M56" s="415">
        <f>V_TOB_IMAX_in_PS0-V_TOB_Imin+Ripple_PS0</f>
        <v>30</v>
      </c>
      <c r="N56" s="23"/>
      <c r="O56" s="23"/>
      <c r="P56" s="968"/>
      <c r="Q56" s="969"/>
      <c r="R56" s="969"/>
      <c r="S56" s="969"/>
      <c r="T56" s="969"/>
      <c r="U56" s="969"/>
      <c r="V56" s="970"/>
      <c r="Y56" s="968"/>
      <c r="Z56" s="969"/>
      <c r="AA56" s="969"/>
      <c r="AB56" s="969"/>
      <c r="AC56" s="969"/>
      <c r="AD56" s="969"/>
      <c r="AE56" s="970"/>
      <c r="AH56" s="89"/>
    </row>
    <row r="57" spans="2:34" ht="13.5" customHeight="1" thickBot="1">
      <c r="B57" s="89"/>
      <c r="D57" s="29"/>
      <c r="E57" s="17"/>
      <c r="F57" s="17"/>
      <c r="G57" s="17"/>
      <c r="H57" s="30"/>
      <c r="J57" s="29"/>
      <c r="K57" s="17"/>
      <c r="L57" s="24"/>
      <c r="M57" s="30"/>
      <c r="N57" s="23"/>
      <c r="O57" s="23"/>
      <c r="P57" s="971"/>
      <c r="Q57" s="972"/>
      <c r="R57" s="972"/>
      <c r="S57" s="972"/>
      <c r="T57" s="972"/>
      <c r="U57" s="972"/>
      <c r="V57" s="973"/>
      <c r="Y57" s="968"/>
      <c r="Z57" s="969"/>
      <c r="AA57" s="969"/>
      <c r="AB57" s="969"/>
      <c r="AC57" s="969"/>
      <c r="AD57" s="969"/>
      <c r="AE57" s="970"/>
      <c r="AH57" s="89"/>
    </row>
    <row r="58" spans="2:34" ht="13.5" customHeight="1" thickBot="1">
      <c r="B58" s="89"/>
      <c r="D58" s="879" t="s">
        <v>318</v>
      </c>
      <c r="E58" s="880"/>
      <c r="F58" s="880"/>
      <c r="G58" s="880"/>
      <c r="H58" s="307">
        <f>M49</f>
        <v>0</v>
      </c>
      <c r="I58" s="13"/>
      <c r="J58" s="879" t="s">
        <v>319</v>
      </c>
      <c r="K58" s="880"/>
      <c r="L58" s="880"/>
      <c r="M58" s="306">
        <f>V_Undershoot</f>
        <v>0</v>
      </c>
      <c r="N58" s="23"/>
      <c r="O58" s="23"/>
      <c r="P58" s="73"/>
      <c r="Q58" s="73"/>
      <c r="R58" s="73"/>
      <c r="S58" s="73"/>
      <c r="T58" s="73"/>
      <c r="U58" s="73"/>
      <c r="V58" s="73"/>
      <c r="Y58" s="73"/>
      <c r="Z58" s="73"/>
      <c r="AA58" s="73"/>
      <c r="AB58" s="73"/>
      <c r="AC58" s="73"/>
      <c r="AD58" s="73"/>
      <c r="AE58" s="73"/>
      <c r="AH58" s="89"/>
    </row>
    <row r="59" spans="2:34" ht="15.75">
      <c r="B59" s="89"/>
      <c r="N59" s="23"/>
      <c r="O59" s="23"/>
      <c r="P59" s="73"/>
      <c r="Q59" s="73"/>
      <c r="R59" s="73"/>
      <c r="S59" s="73"/>
      <c r="T59" s="73"/>
      <c r="U59" s="73"/>
      <c r="V59" s="73"/>
      <c r="Y59" s="73"/>
      <c r="Z59" s="73"/>
      <c r="AA59" s="73"/>
      <c r="AB59" s="73"/>
      <c r="AC59" s="73"/>
      <c r="AD59" s="73"/>
      <c r="AE59" s="73"/>
      <c r="AH59" s="89"/>
    </row>
    <row r="60" spans="2:34" ht="13.5" customHeight="1">
      <c r="B60" s="89"/>
      <c r="D60" s="884" t="s">
        <v>117</v>
      </c>
      <c r="E60" s="884"/>
      <c r="F60" s="884"/>
      <c r="G60" s="884"/>
      <c r="H60" s="884"/>
      <c r="I60" s="884"/>
      <c r="J60" s="884"/>
      <c r="K60" s="884"/>
      <c r="L60" s="153" t="s">
        <v>51</v>
      </c>
      <c r="M60" s="23"/>
      <c r="N60" s="23"/>
      <c r="O60" s="23"/>
      <c r="P60" s="73"/>
      <c r="Q60" s="73"/>
      <c r="R60" s="73"/>
      <c r="S60" s="73"/>
      <c r="T60" s="73"/>
      <c r="U60" s="73"/>
      <c r="V60" s="73"/>
      <c r="Y60" s="73"/>
      <c r="Z60" s="73"/>
      <c r="AA60" s="73"/>
      <c r="AB60" s="73"/>
      <c r="AC60" s="73"/>
      <c r="AD60" s="73"/>
      <c r="AE60" s="73"/>
      <c r="AH60" s="89"/>
    </row>
    <row r="61" spans="2:34" ht="12.75" customHeight="1">
      <c r="B61" s="89"/>
      <c r="D61" s="295" t="str">
        <f>"Is the voltage change from "&amp;dVID_Settle&amp;"us to Settled less than the TOB value?"</f>
        <v>Is the voltage change from 1us to Settled less than the TOB value?</v>
      </c>
      <c r="E61" s="296"/>
      <c r="F61" s="296"/>
      <c r="G61" s="296"/>
      <c r="H61" s="296"/>
      <c r="I61" s="296"/>
      <c r="J61" s="296"/>
      <c r="K61" s="220"/>
      <c r="L61" s="153" t="s">
        <v>51</v>
      </c>
      <c r="M61" s="23"/>
      <c r="N61" s="23"/>
      <c r="O61" s="23"/>
      <c r="P61" s="958" t="s">
        <v>76</v>
      </c>
      <c r="Q61" s="958"/>
      <c r="R61" s="958"/>
      <c r="S61" s="958"/>
      <c r="T61" s="958"/>
      <c r="U61" s="958"/>
      <c r="V61" s="958"/>
      <c r="W61" s="96"/>
      <c r="X61" s="96"/>
      <c r="Y61" s="958" t="s">
        <v>77</v>
      </c>
      <c r="Z61" s="958"/>
      <c r="AA61" s="958"/>
      <c r="AB61" s="958"/>
      <c r="AC61" s="958"/>
      <c r="AD61" s="958"/>
      <c r="AE61" s="958"/>
      <c r="AF61" s="96"/>
      <c r="AH61" s="89"/>
    </row>
    <row r="62" spans="2:34" ht="12.75" customHeight="1">
      <c r="B62" s="89"/>
      <c r="D62" s="592" t="s">
        <v>320</v>
      </c>
      <c r="E62" s="593"/>
      <c r="F62" s="593"/>
      <c r="G62" s="593"/>
      <c r="H62" s="593"/>
      <c r="I62" s="593"/>
      <c r="J62" s="593"/>
      <c r="K62" s="594"/>
      <c r="L62" s="153" t="s">
        <v>51</v>
      </c>
      <c r="N62" s="23"/>
      <c r="O62" s="23"/>
      <c r="P62" s="958"/>
      <c r="Q62" s="958"/>
      <c r="R62" s="958"/>
      <c r="S62" s="958"/>
      <c r="T62" s="958"/>
      <c r="U62" s="958"/>
      <c r="V62" s="958"/>
      <c r="W62" s="96"/>
      <c r="X62" s="96"/>
      <c r="Y62" s="958"/>
      <c r="Z62" s="958"/>
      <c r="AA62" s="958"/>
      <c r="AB62" s="958"/>
      <c r="AC62" s="958"/>
      <c r="AD62" s="958"/>
      <c r="AE62" s="958"/>
      <c r="AF62" s="96"/>
      <c r="AH62" s="89"/>
    </row>
    <row r="63" spans="2:34">
      <c r="B63" s="89"/>
      <c r="M63" s="23"/>
      <c r="N63" s="23"/>
      <c r="O63" s="23"/>
      <c r="P63" s="958"/>
      <c r="Q63" s="958"/>
      <c r="R63" s="958"/>
      <c r="S63" s="958"/>
      <c r="T63" s="958"/>
      <c r="U63" s="958"/>
      <c r="V63" s="958"/>
      <c r="W63" s="154" t="s">
        <v>51</v>
      </c>
      <c r="X63" s="97"/>
      <c r="Y63" s="958"/>
      <c r="Z63" s="958"/>
      <c r="AA63" s="958"/>
      <c r="AB63" s="958"/>
      <c r="AC63" s="958"/>
      <c r="AD63" s="958"/>
      <c r="AE63" s="958"/>
      <c r="AF63" s="154" t="s">
        <v>51</v>
      </c>
      <c r="AH63" s="89"/>
    </row>
    <row r="64" spans="2:34">
      <c r="B64" s="89"/>
      <c r="H64" s="13"/>
      <c r="M64" s="80"/>
      <c r="N64" s="80"/>
      <c r="O64" s="80"/>
      <c r="P64" s="66"/>
      <c r="Q64" s="66"/>
      <c r="R64" s="66"/>
      <c r="S64" s="66"/>
      <c r="T64" s="66"/>
      <c r="U64" s="66"/>
      <c r="V64" s="66"/>
      <c r="AH64" s="89"/>
    </row>
    <row r="65" spans="1:34" ht="12.75" customHeight="1">
      <c r="B65" s="89"/>
      <c r="C65" s="89"/>
      <c r="D65" s="89"/>
      <c r="E65" s="89"/>
      <c r="F65" s="89"/>
      <c r="G65" s="89"/>
      <c r="H65" s="95"/>
      <c r="I65" s="89"/>
      <c r="J65" s="89"/>
      <c r="K65" s="89"/>
      <c r="L65" s="95"/>
      <c r="M65" s="89"/>
      <c r="N65" s="89"/>
      <c r="O65" s="89"/>
      <c r="P65" s="93"/>
      <c r="Q65" s="93"/>
      <c r="R65" s="93"/>
      <c r="S65" s="93"/>
      <c r="T65" s="93"/>
      <c r="U65" s="93"/>
      <c r="V65" s="93"/>
      <c r="W65" s="89"/>
      <c r="X65" s="89"/>
      <c r="Y65" s="89"/>
      <c r="Z65" s="89"/>
      <c r="AA65" s="89"/>
      <c r="AB65" s="89"/>
      <c r="AC65" s="89"/>
      <c r="AD65" s="89"/>
      <c r="AE65" s="89"/>
      <c r="AF65" s="89"/>
      <c r="AG65" s="89"/>
      <c r="AH65" s="89"/>
    </row>
    <row r="66" spans="1:34">
      <c r="H66" s="13"/>
      <c r="M66" s="80"/>
      <c r="N66" s="80"/>
      <c r="O66" s="80"/>
    </row>
    <row r="67" spans="1:34">
      <c r="H67" s="13"/>
      <c r="M67" s="80"/>
      <c r="N67" s="80"/>
      <c r="O67" s="80"/>
    </row>
    <row r="68" spans="1:34">
      <c r="A68" s="126"/>
      <c r="B68" s="89"/>
      <c r="C68" s="89"/>
      <c r="D68" s="90"/>
      <c r="E68" s="91"/>
      <c r="F68" s="91"/>
      <c r="G68" s="91"/>
      <c r="H68" s="92"/>
      <c r="I68" s="91"/>
      <c r="J68" s="91"/>
      <c r="K68" s="93"/>
      <c r="L68" s="145"/>
      <c r="M68" s="93"/>
      <c r="N68" s="93"/>
      <c r="O68" s="93"/>
      <c r="P68" s="89"/>
      <c r="Q68" s="89"/>
      <c r="R68" s="89"/>
      <c r="S68" s="89"/>
      <c r="T68" s="89"/>
      <c r="U68" s="89"/>
      <c r="V68" s="89"/>
      <c r="W68" s="93"/>
      <c r="X68" s="93"/>
      <c r="Y68" s="89"/>
      <c r="Z68" s="89"/>
      <c r="AA68" s="89"/>
      <c r="AB68" s="89"/>
      <c r="AC68" s="89"/>
      <c r="AD68" s="89"/>
      <c r="AE68" s="89"/>
      <c r="AF68" s="89"/>
      <c r="AG68" s="89"/>
      <c r="AH68" s="89"/>
    </row>
    <row r="69" spans="1:34" ht="13.5" thickBot="1">
      <c r="A69" s="127"/>
      <c r="B69" s="89"/>
      <c r="H69" s="13"/>
      <c r="M69" s="80"/>
      <c r="N69" s="80"/>
      <c r="O69" s="80"/>
      <c r="AH69" s="89"/>
    </row>
    <row r="70" spans="1:34" ht="32.25" customHeight="1">
      <c r="A70" s="128"/>
      <c r="B70" s="89"/>
      <c r="D70" s="955" t="s">
        <v>239</v>
      </c>
      <c r="E70" s="956"/>
      <c r="F70" s="956"/>
      <c r="G70" s="956"/>
      <c r="H70" s="956"/>
      <c r="I70" s="956"/>
      <c r="J70" s="956"/>
      <c r="K70" s="956"/>
      <c r="M70" s="80"/>
      <c r="N70" s="80"/>
      <c r="O70" s="80"/>
      <c r="P70" s="965" t="s">
        <v>74</v>
      </c>
      <c r="Q70" s="966"/>
      <c r="R70" s="966"/>
      <c r="S70" s="966"/>
      <c r="T70" s="966"/>
      <c r="U70" s="966"/>
      <c r="V70" s="967"/>
      <c r="Y70" s="965" t="s">
        <v>75</v>
      </c>
      <c r="Z70" s="966"/>
      <c r="AA70" s="966"/>
      <c r="AB70" s="966"/>
      <c r="AC70" s="966"/>
      <c r="AD70" s="966"/>
      <c r="AE70" s="967"/>
      <c r="AH70" s="89"/>
    </row>
    <row r="71" spans="1:34" ht="15.75">
      <c r="A71" s="88"/>
      <c r="B71" s="89"/>
      <c r="D71" s="225"/>
      <c r="E71" s="226"/>
      <c r="F71" s="289"/>
      <c r="G71" s="116"/>
      <c r="H71" s="116"/>
      <c r="I71" s="116"/>
      <c r="J71" s="116"/>
      <c r="K71" s="116"/>
      <c r="L71" s="67" t="s">
        <v>88</v>
      </c>
      <c r="M71" s="260" t="s">
        <v>197</v>
      </c>
      <c r="O71" s="23"/>
      <c r="P71" s="968"/>
      <c r="Q71" s="969"/>
      <c r="R71" s="969"/>
      <c r="S71" s="969"/>
      <c r="T71" s="969"/>
      <c r="U71" s="969"/>
      <c r="V71" s="970"/>
      <c r="Y71" s="968"/>
      <c r="Z71" s="969"/>
      <c r="AA71" s="969"/>
      <c r="AB71" s="969"/>
      <c r="AC71" s="969"/>
      <c r="AD71" s="969"/>
      <c r="AE71" s="970"/>
      <c r="AH71" s="89"/>
    </row>
    <row r="72" spans="1:34" ht="12.75" customHeight="1">
      <c r="B72" s="89"/>
      <c r="D72" s="227" t="s">
        <v>171</v>
      </c>
      <c r="E72" s="228">
        <f>VID_1</f>
        <v>0.9</v>
      </c>
      <c r="F72" s="289"/>
      <c r="H72" s="1033" t="str">
        <f>"Static voltage level at "&amp;E72&amp;"V"</f>
        <v>Static voltage level at 0.9V</v>
      </c>
      <c r="I72" s="975"/>
      <c r="J72" s="975"/>
      <c r="K72" s="976"/>
      <c r="L72"/>
      <c r="O72" s="123"/>
      <c r="P72" s="968"/>
      <c r="Q72" s="969"/>
      <c r="R72" s="969"/>
      <c r="S72" s="969"/>
      <c r="T72" s="969"/>
      <c r="U72" s="969"/>
      <c r="V72" s="970"/>
      <c r="Y72" s="968"/>
      <c r="Z72" s="969"/>
      <c r="AA72" s="969"/>
      <c r="AB72" s="969"/>
      <c r="AC72" s="969"/>
      <c r="AD72" s="969"/>
      <c r="AE72" s="970"/>
      <c r="AH72" s="89"/>
    </row>
    <row r="73" spans="1:34" ht="12.75" customHeight="1">
      <c r="B73" s="89"/>
      <c r="D73" s="227" t="s">
        <v>172</v>
      </c>
      <c r="E73" s="228">
        <f>VID_3</f>
        <v>0.3</v>
      </c>
      <c r="F73" s="289"/>
      <c r="H73" s="1034"/>
      <c r="I73" s="981"/>
      <c r="J73" s="981"/>
      <c r="K73" s="982"/>
      <c r="L73" s="309">
        <f>E72</f>
        <v>0.9</v>
      </c>
      <c r="M73" s="308">
        <v>0.89039999999999997</v>
      </c>
      <c r="O73" s="123"/>
      <c r="P73" s="968"/>
      <c r="Q73" s="969"/>
      <c r="R73" s="969"/>
      <c r="S73" s="969"/>
      <c r="T73" s="969"/>
      <c r="U73" s="969"/>
      <c r="V73" s="970"/>
      <c r="Y73" s="968"/>
      <c r="Z73" s="969"/>
      <c r="AA73" s="969"/>
      <c r="AB73" s="969"/>
      <c r="AC73" s="969"/>
      <c r="AD73" s="969"/>
      <c r="AE73" s="970"/>
      <c r="AH73" s="89"/>
    </row>
    <row r="74" spans="1:34" ht="12.75" customHeight="1">
      <c r="B74" s="89"/>
      <c r="D74" s="229" t="s">
        <v>173</v>
      </c>
      <c r="E74" s="230">
        <v>5</v>
      </c>
      <c r="F74" s="231"/>
      <c r="M74" s="13"/>
      <c r="O74" s="13"/>
      <c r="P74" s="968"/>
      <c r="Q74" s="969"/>
      <c r="R74" s="969"/>
      <c r="S74" s="969"/>
      <c r="T74" s="969"/>
      <c r="U74" s="969"/>
      <c r="V74" s="970"/>
      <c r="Y74" s="968"/>
      <c r="Z74" s="969"/>
      <c r="AA74" s="969"/>
      <c r="AB74" s="969"/>
      <c r="AC74" s="969"/>
      <c r="AD74" s="969"/>
      <c r="AE74" s="970"/>
      <c r="AH74" s="89"/>
    </row>
    <row r="75" spans="1:34" ht="12.75" customHeight="1">
      <c r="B75" s="89"/>
      <c r="D75" s="229" t="s">
        <v>174</v>
      </c>
      <c r="E75" s="230" t="s">
        <v>178</v>
      </c>
      <c r="F75" s="576" t="s">
        <v>452</v>
      </c>
      <c r="G75" s="577" t="s">
        <v>453</v>
      </c>
      <c r="H75" s="578"/>
      <c r="I75" s="578"/>
      <c r="J75" s="578"/>
      <c r="K75" s="579"/>
      <c r="P75" s="968"/>
      <c r="Q75" s="969"/>
      <c r="R75" s="969"/>
      <c r="S75" s="969"/>
      <c r="T75" s="969"/>
      <c r="U75" s="969"/>
      <c r="V75" s="970"/>
      <c r="Y75" s="968"/>
      <c r="Z75" s="969"/>
      <c r="AA75" s="969"/>
      <c r="AB75" s="969"/>
      <c r="AC75" s="969"/>
      <c r="AD75" s="969"/>
      <c r="AE75" s="970"/>
      <c r="AH75" s="89"/>
    </row>
    <row r="76" spans="1:34" ht="12.75" customHeight="1">
      <c r="B76" s="89"/>
      <c r="D76" s="229" t="s">
        <v>176</v>
      </c>
      <c r="E76" s="230" t="s">
        <v>175</v>
      </c>
      <c r="G76" s="114"/>
      <c r="H76" s="1045" t="s">
        <v>114</v>
      </c>
      <c r="I76" s="978"/>
      <c r="J76" s="978"/>
      <c r="K76" s="979"/>
      <c r="L76"/>
      <c r="O76" s="119"/>
      <c r="P76" s="968"/>
      <c r="Q76" s="969"/>
      <c r="R76" s="969"/>
      <c r="S76" s="969"/>
      <c r="T76" s="969"/>
      <c r="U76" s="969"/>
      <c r="V76" s="970"/>
      <c r="Y76" s="968"/>
      <c r="Z76" s="969"/>
      <c r="AA76" s="969"/>
      <c r="AB76" s="969"/>
      <c r="AC76" s="969"/>
      <c r="AD76" s="969"/>
      <c r="AE76" s="970"/>
      <c r="AH76" s="89"/>
    </row>
    <row r="77" spans="1:34" ht="12.75" customHeight="1">
      <c r="B77" s="89"/>
      <c r="D77" s="229" t="s">
        <v>195</v>
      </c>
      <c r="E77" s="290">
        <v>0</v>
      </c>
      <c r="G77" s="114"/>
      <c r="H77" s="1034"/>
      <c r="I77" s="981"/>
      <c r="J77" s="981"/>
      <c r="K77" s="982"/>
      <c r="L77" s="67" t="str">
        <f>$E$73&amp;" to "&amp;$E$72</f>
        <v>0.3 to 0.9</v>
      </c>
      <c r="M77" s="118">
        <v>18.239999999999998</v>
      </c>
      <c r="O77" s="119"/>
      <c r="P77" s="968"/>
      <c r="Q77" s="969"/>
      <c r="R77" s="969"/>
      <c r="S77" s="969"/>
      <c r="T77" s="969"/>
      <c r="U77" s="969"/>
      <c r="V77" s="970"/>
      <c r="Y77" s="968"/>
      <c r="Z77" s="969"/>
      <c r="AA77" s="969"/>
      <c r="AB77" s="969"/>
      <c r="AC77" s="969"/>
      <c r="AD77" s="969"/>
      <c r="AE77" s="970"/>
      <c r="AH77" s="89"/>
    </row>
    <row r="78" spans="1:34" ht="12.75" customHeight="1">
      <c r="B78" s="89"/>
      <c r="D78" s="229" t="s">
        <v>196</v>
      </c>
      <c r="E78" s="290">
        <v>0</v>
      </c>
      <c r="L78"/>
      <c r="O78" s="119"/>
      <c r="P78" s="968"/>
      <c r="Q78" s="969"/>
      <c r="R78" s="969"/>
      <c r="S78" s="969"/>
      <c r="T78" s="969"/>
      <c r="U78" s="969"/>
      <c r="V78" s="970"/>
      <c r="Y78" s="968"/>
      <c r="Z78" s="969"/>
      <c r="AA78" s="969"/>
      <c r="AB78" s="969"/>
      <c r="AC78" s="969"/>
      <c r="AD78" s="969"/>
      <c r="AE78" s="970"/>
      <c r="AH78" s="89"/>
    </row>
    <row r="79" spans="1:34" ht="12.75" customHeight="1">
      <c r="B79" s="89"/>
      <c r="L79"/>
      <c r="O79" s="119"/>
      <c r="P79" s="968"/>
      <c r="Q79" s="969"/>
      <c r="R79" s="969"/>
      <c r="S79" s="969"/>
      <c r="T79" s="969"/>
      <c r="U79" s="969"/>
      <c r="V79" s="970"/>
      <c r="Y79" s="968"/>
      <c r="Z79" s="969"/>
      <c r="AA79" s="969"/>
      <c r="AB79" s="969"/>
      <c r="AC79" s="969"/>
      <c r="AD79" s="969"/>
      <c r="AE79" s="970"/>
      <c r="AH79" s="89"/>
    </row>
    <row r="80" spans="1:34" ht="12.75" customHeight="1">
      <c r="B80" s="89"/>
      <c r="H80" s="1033" t="str">
        <f>"Voltage level "&amp;dVID_Settle&amp;"us after ALERT# assertion"</f>
        <v>Voltage level 1us after ALERT# assertion</v>
      </c>
      <c r="I80" s="975"/>
      <c r="J80" s="975"/>
      <c r="K80" s="976"/>
      <c r="L80"/>
      <c r="O80" s="119"/>
      <c r="P80" s="968"/>
      <c r="Q80" s="969"/>
      <c r="R80" s="969"/>
      <c r="S80" s="969"/>
      <c r="T80" s="969"/>
      <c r="U80" s="969"/>
      <c r="V80" s="970"/>
      <c r="Y80" s="968"/>
      <c r="Z80" s="969"/>
      <c r="AA80" s="969"/>
      <c r="AB80" s="969"/>
      <c r="AC80" s="969"/>
      <c r="AD80" s="969"/>
      <c r="AE80" s="970"/>
      <c r="AH80" s="89"/>
    </row>
    <row r="81" spans="2:34" ht="12.75" customHeight="1">
      <c r="B81" s="89"/>
      <c r="H81" s="1034"/>
      <c r="I81" s="981"/>
      <c r="J81" s="981"/>
      <c r="K81" s="982"/>
      <c r="L81" s="67" t="str">
        <f>$E$73&amp;" to "&amp;$E$72</f>
        <v>0.3 to 0.9</v>
      </c>
      <c r="M81" s="308">
        <v>0.88239199999999995</v>
      </c>
      <c r="O81" s="80"/>
      <c r="P81" s="968"/>
      <c r="Q81" s="969"/>
      <c r="R81" s="969"/>
      <c r="S81" s="969"/>
      <c r="T81" s="969"/>
      <c r="U81" s="969"/>
      <c r="V81" s="970"/>
      <c r="Y81" s="968"/>
      <c r="Z81" s="969"/>
      <c r="AA81" s="969"/>
      <c r="AB81" s="969"/>
      <c r="AC81" s="969"/>
      <c r="AD81" s="969"/>
      <c r="AE81" s="970"/>
      <c r="AH81" s="89"/>
    </row>
    <row r="82" spans="2:34" ht="12.75" customHeight="1">
      <c r="B82" s="89"/>
      <c r="N82" s="80"/>
      <c r="O82" s="80"/>
      <c r="P82" s="968"/>
      <c r="Q82" s="969"/>
      <c r="R82" s="969"/>
      <c r="S82" s="969"/>
      <c r="T82" s="969"/>
      <c r="U82" s="969"/>
      <c r="V82" s="970"/>
      <c r="Y82" s="968"/>
      <c r="Z82" s="969"/>
      <c r="AA82" s="969"/>
      <c r="AB82" s="969"/>
      <c r="AC82" s="969"/>
      <c r="AD82" s="969"/>
      <c r="AE82" s="970"/>
      <c r="AH82" s="89"/>
    </row>
    <row r="83" spans="2:34" ht="12.75" customHeight="1">
      <c r="B83" s="89"/>
      <c r="H83" s="1033" t="s">
        <v>317</v>
      </c>
      <c r="I83" s="975"/>
      <c r="J83" s="975"/>
      <c r="K83" s="976"/>
      <c r="L83"/>
      <c r="N83" s="80"/>
      <c r="O83" s="80"/>
      <c r="P83" s="968"/>
      <c r="Q83" s="969"/>
      <c r="R83" s="969"/>
      <c r="S83" s="969"/>
      <c r="T83" s="969"/>
      <c r="U83" s="969"/>
      <c r="V83" s="970"/>
      <c r="Y83" s="968"/>
      <c r="Z83" s="969"/>
      <c r="AA83" s="969"/>
      <c r="AB83" s="969"/>
      <c r="AC83" s="969"/>
      <c r="AD83" s="969"/>
      <c r="AE83" s="970"/>
      <c r="AH83" s="89"/>
    </row>
    <row r="84" spans="2:34" ht="12.75" customHeight="1">
      <c r="B84" s="89"/>
      <c r="H84" s="1034"/>
      <c r="I84" s="981"/>
      <c r="J84" s="981"/>
      <c r="K84" s="982"/>
      <c r="L84" s="67" t="str">
        <f>$E$72&amp;" to "&amp;$E$73</f>
        <v>0.9 to 0.3</v>
      </c>
      <c r="M84" s="308">
        <v>0</v>
      </c>
      <c r="N84" s="80"/>
      <c r="O84" s="80"/>
      <c r="P84" s="968"/>
      <c r="Q84" s="969"/>
      <c r="R84" s="969"/>
      <c r="S84" s="969"/>
      <c r="T84" s="969"/>
      <c r="U84" s="969"/>
      <c r="V84" s="970"/>
      <c r="Y84" s="968"/>
      <c r="Z84" s="969"/>
      <c r="AA84" s="969"/>
      <c r="AB84" s="969"/>
      <c r="AC84" s="969"/>
      <c r="AD84" s="969"/>
      <c r="AE84" s="970"/>
      <c r="AH84" s="89"/>
    </row>
    <row r="85" spans="2:34" ht="12.75" customHeight="1">
      <c r="B85" s="89"/>
      <c r="N85" s="80"/>
      <c r="O85" s="80"/>
      <c r="P85" s="968"/>
      <c r="Q85" s="969"/>
      <c r="R85" s="969"/>
      <c r="S85" s="969"/>
      <c r="T85" s="969"/>
      <c r="U85" s="969"/>
      <c r="V85" s="970"/>
      <c r="Y85" s="968"/>
      <c r="Z85" s="969"/>
      <c r="AA85" s="969"/>
      <c r="AB85" s="969"/>
      <c r="AC85" s="969"/>
      <c r="AD85" s="969"/>
      <c r="AE85" s="970"/>
      <c r="AH85" s="89"/>
    </row>
    <row r="86" spans="2:34" ht="12.75" customHeight="1" thickBot="1">
      <c r="B86" s="89"/>
      <c r="N86" s="80"/>
      <c r="O86" s="80"/>
      <c r="P86" s="968"/>
      <c r="Q86" s="969"/>
      <c r="R86" s="969"/>
      <c r="S86" s="969"/>
      <c r="T86" s="969"/>
      <c r="U86" s="969"/>
      <c r="V86" s="970"/>
      <c r="Y86" s="968"/>
      <c r="Z86" s="969"/>
      <c r="AA86" s="969"/>
      <c r="AB86" s="969"/>
      <c r="AC86" s="969"/>
      <c r="AD86" s="969"/>
      <c r="AE86" s="970"/>
      <c r="AH86" s="89"/>
    </row>
    <row r="87" spans="2:34" ht="13.5" customHeight="1">
      <c r="B87" s="89"/>
      <c r="D87" s="925" t="s">
        <v>72</v>
      </c>
      <c r="E87" s="926"/>
      <c r="F87" s="926"/>
      <c r="G87" s="926"/>
      <c r="H87" s="927"/>
      <c r="J87" s="1035" t="s">
        <v>40</v>
      </c>
      <c r="K87" s="1036"/>
      <c r="L87" s="1036"/>
      <c r="M87" s="1037"/>
      <c r="N87" s="80"/>
      <c r="O87" s="80"/>
      <c r="P87" s="968"/>
      <c r="Q87" s="969"/>
      <c r="R87" s="969"/>
      <c r="S87" s="969"/>
      <c r="T87" s="969"/>
      <c r="U87" s="969"/>
      <c r="V87" s="970"/>
      <c r="Y87" s="968"/>
      <c r="Z87" s="969"/>
      <c r="AA87" s="969"/>
      <c r="AB87" s="969"/>
      <c r="AC87" s="969"/>
      <c r="AD87" s="969"/>
      <c r="AE87" s="970"/>
      <c r="AH87" s="89"/>
    </row>
    <row r="88" spans="2:34" ht="12.75" customHeight="1">
      <c r="B88" s="89"/>
      <c r="D88" s="1022" t="s">
        <v>115</v>
      </c>
      <c r="E88" s="931"/>
      <c r="F88" s="931"/>
      <c r="G88" s="872"/>
      <c r="H88" s="183">
        <f>MAX(M76,M77)</f>
        <v>18.239999999999998</v>
      </c>
      <c r="J88" s="1022" t="s">
        <v>116</v>
      </c>
      <c r="K88" s="931"/>
      <c r="L88" s="872"/>
      <c r="M88" s="184">
        <f>(E72-E73)/(SetVID_FAST*0.001)</f>
        <v>20.000000000000004</v>
      </c>
      <c r="N88" s="146"/>
      <c r="O88" s="146"/>
      <c r="P88" s="968"/>
      <c r="Q88" s="969"/>
      <c r="R88" s="969"/>
      <c r="S88" s="969"/>
      <c r="T88" s="969"/>
      <c r="U88" s="969"/>
      <c r="V88" s="970"/>
      <c r="Y88" s="968"/>
      <c r="Z88" s="969"/>
      <c r="AA88" s="969"/>
      <c r="AB88" s="969"/>
      <c r="AC88" s="969"/>
      <c r="AD88" s="969"/>
      <c r="AE88" s="970"/>
      <c r="AH88" s="89"/>
    </row>
    <row r="89" spans="2:34" ht="12.75" customHeight="1">
      <c r="B89" s="89"/>
      <c r="D89" s="29"/>
      <c r="E89" s="17"/>
      <c r="F89" s="17"/>
      <c r="G89" s="17"/>
      <c r="H89" s="30"/>
      <c r="J89" s="29"/>
      <c r="K89" s="17"/>
      <c r="L89" s="24"/>
      <c r="M89" s="30"/>
      <c r="N89" s="146"/>
      <c r="O89" s="146"/>
      <c r="P89" s="968"/>
      <c r="Q89" s="969"/>
      <c r="R89" s="969"/>
      <c r="S89" s="969"/>
      <c r="T89" s="969"/>
      <c r="U89" s="969"/>
      <c r="V89" s="970"/>
      <c r="Y89" s="968"/>
      <c r="Z89" s="969"/>
      <c r="AA89" s="969"/>
      <c r="AB89" s="969"/>
      <c r="AC89" s="969"/>
      <c r="AD89" s="969"/>
      <c r="AE89" s="970"/>
      <c r="AH89" s="89"/>
    </row>
    <row r="90" spans="2:34" ht="12.75" customHeight="1">
      <c r="B90" s="89"/>
      <c r="D90" s="873" t="str">
        <f>"Voltage change "&amp;dVID_Settle&amp;"us after ALERT to settled"</f>
        <v>Voltage change 1us after ALERT to settled</v>
      </c>
      <c r="E90" s="874"/>
      <c r="F90" s="874"/>
      <c r="G90" s="874"/>
      <c r="H90" s="416">
        <f>(M73-M81)*1000</f>
        <v>8.0080000000000151</v>
      </c>
      <c r="I90" s="13"/>
      <c r="J90" s="873" t="s">
        <v>237</v>
      </c>
      <c r="K90" s="874"/>
      <c r="L90" s="874"/>
      <c r="M90" s="415">
        <f>V_TOB_IMAX_in_PS0-V_TOB_Imin+Ripple_PS0</f>
        <v>30</v>
      </c>
      <c r="N90" s="23"/>
      <c r="O90" s="23"/>
      <c r="P90" s="968"/>
      <c r="Q90" s="969"/>
      <c r="R90" s="969"/>
      <c r="S90" s="969"/>
      <c r="T90" s="969"/>
      <c r="U90" s="969"/>
      <c r="V90" s="970"/>
      <c r="Y90" s="968"/>
      <c r="Z90" s="969"/>
      <c r="AA90" s="969"/>
      <c r="AB90" s="969"/>
      <c r="AC90" s="969"/>
      <c r="AD90" s="969"/>
      <c r="AE90" s="970"/>
      <c r="AH90" s="89"/>
    </row>
    <row r="91" spans="2:34" ht="13.5" customHeight="1">
      <c r="B91" s="89"/>
      <c r="D91" s="29"/>
      <c r="E91" s="17"/>
      <c r="F91" s="17"/>
      <c r="G91" s="17"/>
      <c r="H91" s="30"/>
      <c r="J91" s="29"/>
      <c r="K91" s="17"/>
      <c r="L91" s="24"/>
      <c r="M91" s="30"/>
      <c r="N91" s="23"/>
      <c r="O91" s="23"/>
      <c r="P91" s="968"/>
      <c r="Q91" s="969"/>
      <c r="R91" s="969"/>
      <c r="S91" s="969"/>
      <c r="T91" s="969"/>
      <c r="U91" s="969"/>
      <c r="V91" s="970"/>
      <c r="Y91" s="968"/>
      <c r="Z91" s="969"/>
      <c r="AA91" s="969"/>
      <c r="AB91" s="969"/>
      <c r="AC91" s="969"/>
      <c r="AD91" s="969"/>
      <c r="AE91" s="970"/>
      <c r="AH91" s="89"/>
    </row>
    <row r="92" spans="2:34" ht="13.5" customHeight="1" thickBot="1">
      <c r="B92" s="89"/>
      <c r="D92" s="879" t="s">
        <v>318</v>
      </c>
      <c r="E92" s="880"/>
      <c r="F92" s="880"/>
      <c r="G92" s="880"/>
      <c r="H92" s="307">
        <f>M84</f>
        <v>0</v>
      </c>
      <c r="I92" s="13"/>
      <c r="J92" s="879" t="s">
        <v>319</v>
      </c>
      <c r="K92" s="880"/>
      <c r="L92" s="880"/>
      <c r="M92" s="306">
        <f>V_Undershoot</f>
        <v>0</v>
      </c>
      <c r="N92" s="23"/>
      <c r="O92" s="23"/>
      <c r="P92" s="968"/>
      <c r="Q92" s="969"/>
      <c r="R92" s="969"/>
      <c r="S92" s="969"/>
      <c r="T92" s="969"/>
      <c r="U92" s="969"/>
      <c r="V92" s="970"/>
      <c r="Y92" s="968"/>
      <c r="Z92" s="969"/>
      <c r="AA92" s="969"/>
      <c r="AB92" s="969"/>
      <c r="AC92" s="969"/>
      <c r="AD92" s="969"/>
      <c r="AE92" s="970"/>
      <c r="AH92" s="89"/>
    </row>
    <row r="93" spans="2:34" ht="13.5" thickBot="1">
      <c r="B93" s="89"/>
      <c r="P93" s="971"/>
      <c r="Q93" s="972"/>
      <c r="R93" s="972"/>
      <c r="S93" s="972"/>
      <c r="T93" s="972"/>
      <c r="U93" s="972"/>
      <c r="V93" s="973"/>
      <c r="Y93" s="971"/>
      <c r="Z93" s="972"/>
      <c r="AA93" s="972"/>
      <c r="AB93" s="972"/>
      <c r="AC93" s="972"/>
      <c r="AD93" s="972"/>
      <c r="AE93" s="973"/>
      <c r="AH93" s="89"/>
    </row>
    <row r="94" spans="2:34" ht="15.75">
      <c r="B94" s="89"/>
      <c r="D94" s="895" t="s">
        <v>117</v>
      </c>
      <c r="E94" s="896"/>
      <c r="F94" s="896"/>
      <c r="G94" s="896"/>
      <c r="H94" s="896"/>
      <c r="I94" s="896"/>
      <c r="J94" s="896"/>
      <c r="K94" s="897"/>
      <c r="L94" s="153" t="s">
        <v>51</v>
      </c>
      <c r="N94" s="23"/>
      <c r="O94" s="23"/>
      <c r="P94" s="73"/>
      <c r="Q94" s="73"/>
      <c r="R94" s="73"/>
      <c r="S94" s="73"/>
      <c r="T94" s="73"/>
      <c r="U94" s="73"/>
      <c r="V94" s="73"/>
      <c r="Y94" s="73"/>
      <c r="Z94" s="73"/>
      <c r="AA94" s="73"/>
      <c r="AB94" s="73"/>
      <c r="AC94" s="73"/>
      <c r="AD94" s="73"/>
      <c r="AE94" s="73"/>
      <c r="AH94" s="89"/>
    </row>
    <row r="95" spans="2:34" ht="13.5" customHeight="1">
      <c r="B95" s="89"/>
      <c r="D95" s="895" t="str">
        <f>"Is the voltage change from "&amp;dVID_Settle&amp;"us to Settled less than the TOB value?"</f>
        <v>Is the voltage change from 1us to Settled less than the TOB value?</v>
      </c>
      <c r="E95" s="896"/>
      <c r="F95" s="896"/>
      <c r="G95" s="896"/>
      <c r="H95" s="896"/>
      <c r="I95" s="896"/>
      <c r="J95" s="896"/>
      <c r="K95" s="897"/>
      <c r="L95" s="153" t="s">
        <v>51</v>
      </c>
      <c r="M95" s="23"/>
      <c r="N95" s="23"/>
      <c r="O95" s="23"/>
      <c r="P95" s="73"/>
      <c r="Q95" s="73"/>
      <c r="R95" s="73"/>
      <c r="S95" s="73"/>
      <c r="T95" s="73"/>
      <c r="U95" s="73"/>
      <c r="V95" s="73"/>
      <c r="Y95" s="73"/>
      <c r="Z95" s="73"/>
      <c r="AA95" s="73"/>
      <c r="AB95" s="73"/>
      <c r="AC95" s="73"/>
      <c r="AD95" s="73"/>
      <c r="AE95" s="73"/>
      <c r="AH95" s="89"/>
    </row>
    <row r="96" spans="2:34" ht="12.75" customHeight="1">
      <c r="B96" s="89"/>
      <c r="D96" s="895" t="s">
        <v>320</v>
      </c>
      <c r="E96" s="896"/>
      <c r="F96" s="896"/>
      <c r="G96" s="896"/>
      <c r="H96" s="896"/>
      <c r="I96" s="896"/>
      <c r="J96" s="896"/>
      <c r="K96" s="897"/>
      <c r="L96" s="153" t="s">
        <v>51</v>
      </c>
      <c r="M96" s="23"/>
      <c r="N96" s="23"/>
      <c r="O96" s="23"/>
      <c r="P96" s="958" t="s">
        <v>76</v>
      </c>
      <c r="Q96" s="958"/>
      <c r="R96" s="958"/>
      <c r="S96" s="958"/>
      <c r="T96" s="958"/>
      <c r="U96" s="958"/>
      <c r="V96" s="958"/>
      <c r="W96" s="96"/>
      <c r="X96" s="96"/>
      <c r="Y96" s="958" t="s">
        <v>77</v>
      </c>
      <c r="Z96" s="958"/>
      <c r="AA96" s="958"/>
      <c r="AB96" s="958"/>
      <c r="AC96" s="958"/>
      <c r="AD96" s="958"/>
      <c r="AE96" s="958"/>
      <c r="AF96" s="96"/>
      <c r="AH96" s="89"/>
    </row>
    <row r="97" spans="1:34" ht="12.75" customHeight="1">
      <c r="B97" s="89"/>
      <c r="D97" s="1038" t="s">
        <v>89</v>
      </c>
      <c r="E97" s="1039"/>
      <c r="F97" s="1039"/>
      <c r="G97" s="1039"/>
      <c r="H97" s="1039"/>
      <c r="I97" s="1039"/>
      <c r="J97" s="1039"/>
      <c r="K97" s="1040"/>
      <c r="L97" s="154" t="s">
        <v>51</v>
      </c>
      <c r="M97" s="23"/>
      <c r="N97" s="23"/>
      <c r="O97" s="23"/>
      <c r="P97" s="958"/>
      <c r="Q97" s="958"/>
      <c r="R97" s="958"/>
      <c r="S97" s="958"/>
      <c r="T97" s="958"/>
      <c r="U97" s="958"/>
      <c r="V97" s="958"/>
      <c r="W97" s="96"/>
      <c r="X97" s="96"/>
      <c r="Y97" s="958"/>
      <c r="Z97" s="958"/>
      <c r="AA97" s="958"/>
      <c r="AB97" s="958"/>
      <c r="AC97" s="958"/>
      <c r="AD97" s="958"/>
      <c r="AE97" s="958"/>
      <c r="AF97" s="96"/>
      <c r="AH97" s="89"/>
    </row>
    <row r="98" spans="1:34">
      <c r="B98" s="89"/>
      <c r="D98" s="1038" t="s">
        <v>312</v>
      </c>
      <c r="E98" s="1039"/>
      <c r="F98" s="1039"/>
      <c r="G98" s="1039"/>
      <c r="H98" s="1039"/>
      <c r="I98" s="1039"/>
      <c r="J98" s="1039"/>
      <c r="K98" s="1040"/>
      <c r="L98" s="154" t="s">
        <v>51</v>
      </c>
      <c r="M98" s="23"/>
      <c r="N98" s="23"/>
      <c r="O98" s="23"/>
      <c r="P98" s="958"/>
      <c r="Q98" s="958"/>
      <c r="R98" s="958"/>
      <c r="S98" s="958"/>
      <c r="T98" s="958"/>
      <c r="U98" s="958"/>
      <c r="V98" s="958"/>
      <c r="W98" s="154" t="s">
        <v>51</v>
      </c>
      <c r="X98" s="97"/>
      <c r="Y98" s="958"/>
      <c r="Z98" s="958"/>
      <c r="AA98" s="958"/>
      <c r="AB98" s="958"/>
      <c r="AC98" s="958"/>
      <c r="AD98" s="958"/>
      <c r="AE98" s="958"/>
      <c r="AF98" s="154" t="s">
        <v>51</v>
      </c>
      <c r="AH98" s="89"/>
    </row>
    <row r="99" spans="1:34">
      <c r="B99" s="89"/>
      <c r="H99" s="13"/>
      <c r="M99" s="80"/>
      <c r="N99" s="80"/>
      <c r="O99" s="80"/>
      <c r="P99" s="66"/>
      <c r="Q99" s="66"/>
      <c r="R99" s="66"/>
      <c r="S99" s="66"/>
      <c r="T99" s="66"/>
      <c r="U99" s="66"/>
      <c r="V99" s="66"/>
      <c r="AH99" s="89"/>
    </row>
    <row r="100" spans="1:34" ht="12.75" customHeight="1">
      <c r="B100" s="89"/>
      <c r="C100" s="89"/>
      <c r="D100" s="89"/>
      <c r="E100" s="89"/>
      <c r="F100" s="89"/>
      <c r="G100" s="89"/>
      <c r="H100" s="95"/>
      <c r="I100" s="89"/>
      <c r="J100" s="89"/>
      <c r="K100" s="89"/>
      <c r="L100" s="95"/>
      <c r="M100" s="89"/>
      <c r="N100" s="89"/>
      <c r="O100" s="89"/>
      <c r="P100" s="93"/>
      <c r="Q100" s="93"/>
      <c r="R100" s="93"/>
      <c r="S100" s="93"/>
      <c r="T100" s="93"/>
      <c r="U100" s="93"/>
      <c r="V100" s="93"/>
      <c r="W100" s="89"/>
      <c r="X100" s="89"/>
      <c r="Y100" s="89"/>
      <c r="Z100" s="89"/>
      <c r="AA100" s="89"/>
      <c r="AB100" s="89"/>
      <c r="AC100" s="89"/>
      <c r="AD100" s="89"/>
      <c r="AE100" s="89"/>
      <c r="AF100" s="89"/>
      <c r="AG100" s="89"/>
      <c r="AH100" s="89"/>
    </row>
    <row r="103" spans="1:34">
      <c r="A103" s="126" t="s">
        <v>58</v>
      </c>
      <c r="B103" s="89"/>
      <c r="C103" s="89"/>
      <c r="D103" s="90"/>
      <c r="E103" s="91"/>
      <c r="F103" s="91"/>
      <c r="G103" s="91"/>
      <c r="H103" s="92"/>
      <c r="I103" s="91"/>
      <c r="J103" s="91"/>
      <c r="K103" s="93"/>
      <c r="L103" s="145"/>
      <c r="M103" s="93"/>
      <c r="N103" s="93"/>
      <c r="O103" s="93"/>
      <c r="P103" s="89"/>
      <c r="Q103" s="89"/>
      <c r="R103" s="89"/>
      <c r="S103" s="89"/>
      <c r="T103" s="89"/>
      <c r="U103" s="89"/>
      <c r="V103" s="89"/>
      <c r="W103" s="93"/>
      <c r="X103" s="93"/>
      <c r="Y103" s="89"/>
      <c r="Z103" s="89"/>
      <c r="AA103" s="89"/>
      <c r="AB103" s="89"/>
      <c r="AC103" s="89"/>
      <c r="AD103" s="89"/>
      <c r="AE103" s="89"/>
      <c r="AF103" s="89"/>
      <c r="AG103" s="89"/>
      <c r="AH103" s="89"/>
    </row>
    <row r="104" spans="1:34" ht="13.5" thickBot="1">
      <c r="A104" s="127" t="s">
        <v>51</v>
      </c>
      <c r="B104" s="89"/>
      <c r="H104" s="13"/>
      <c r="M104" s="80"/>
      <c r="N104" s="80"/>
      <c r="O104" s="80"/>
      <c r="AH104" s="89"/>
    </row>
    <row r="105" spans="1:34" ht="32.25" customHeight="1">
      <c r="A105" s="128" t="s">
        <v>50</v>
      </c>
      <c r="B105" s="89"/>
      <c r="D105" s="955" t="s">
        <v>78</v>
      </c>
      <c r="E105" s="956"/>
      <c r="F105" s="956"/>
      <c r="G105" s="956"/>
      <c r="H105" s="956"/>
      <c r="I105" s="956"/>
      <c r="J105" s="956"/>
      <c r="K105" s="956"/>
      <c r="M105" s="80"/>
      <c r="N105" s="80"/>
      <c r="O105" s="80"/>
      <c r="P105" s="965" t="s">
        <v>74</v>
      </c>
      <c r="Q105" s="966"/>
      <c r="R105" s="966"/>
      <c r="S105" s="966"/>
      <c r="T105" s="966"/>
      <c r="U105" s="966"/>
      <c r="V105" s="967"/>
      <c r="Y105" s="965" t="s">
        <v>75</v>
      </c>
      <c r="Z105" s="966"/>
      <c r="AA105" s="966"/>
      <c r="AB105" s="966"/>
      <c r="AC105" s="966"/>
      <c r="AD105" s="966"/>
      <c r="AE105" s="967"/>
      <c r="AH105" s="89"/>
    </row>
    <row r="106" spans="1:34" ht="15.75">
      <c r="A106" s="88"/>
      <c r="B106" s="89"/>
      <c r="D106" s="225"/>
      <c r="E106" s="226"/>
      <c r="F106" s="289"/>
      <c r="G106" s="116"/>
      <c r="H106" s="116"/>
      <c r="I106" s="116"/>
      <c r="J106" s="116"/>
      <c r="K106" s="116"/>
      <c r="L106" s="67" t="s">
        <v>88</v>
      </c>
      <c r="M106" s="260" t="s">
        <v>197</v>
      </c>
      <c r="O106" s="23"/>
      <c r="P106" s="968"/>
      <c r="Q106" s="969"/>
      <c r="R106" s="969"/>
      <c r="S106" s="969"/>
      <c r="T106" s="969"/>
      <c r="U106" s="969"/>
      <c r="V106" s="970"/>
      <c r="Y106" s="968"/>
      <c r="Z106" s="969"/>
      <c r="AA106" s="969"/>
      <c r="AB106" s="969"/>
      <c r="AC106" s="969"/>
      <c r="AD106" s="969"/>
      <c r="AE106" s="970"/>
      <c r="AH106" s="89"/>
    </row>
    <row r="107" spans="1:34" ht="12.75" customHeight="1">
      <c r="B107" s="89"/>
      <c r="D107" s="227" t="s">
        <v>171</v>
      </c>
      <c r="E107" s="228">
        <f>VID_1</f>
        <v>0.9</v>
      </c>
      <c r="F107" s="289"/>
      <c r="H107" s="1033" t="str">
        <f>"Static voltage level at "&amp;E107&amp;"V"</f>
        <v>Static voltage level at 0.9V</v>
      </c>
      <c r="I107" s="975"/>
      <c r="J107" s="975"/>
      <c r="K107" s="976"/>
      <c r="L107"/>
      <c r="O107" s="123"/>
      <c r="P107" s="968"/>
      <c r="Q107" s="969"/>
      <c r="R107" s="969"/>
      <c r="S107" s="969"/>
      <c r="T107" s="969"/>
      <c r="U107" s="969"/>
      <c r="V107" s="970"/>
      <c r="Y107" s="968"/>
      <c r="Z107" s="969"/>
      <c r="AA107" s="969"/>
      <c r="AB107" s="969"/>
      <c r="AC107" s="969"/>
      <c r="AD107" s="969"/>
      <c r="AE107" s="970"/>
      <c r="AH107" s="89"/>
    </row>
    <row r="108" spans="1:34" ht="12.75" customHeight="1">
      <c r="B108" s="89"/>
      <c r="D108" s="227" t="s">
        <v>172</v>
      </c>
      <c r="E108" s="228">
        <f>VID_3</f>
        <v>0.3</v>
      </c>
      <c r="F108" s="289"/>
      <c r="H108" s="1034"/>
      <c r="I108" s="981"/>
      <c r="J108" s="981"/>
      <c r="K108" s="982"/>
      <c r="L108" s="309">
        <f>E107</f>
        <v>0.9</v>
      </c>
      <c r="M108" s="308">
        <v>0.88980000000000004</v>
      </c>
      <c r="O108" s="123"/>
      <c r="P108" s="968"/>
      <c r="Q108" s="969"/>
      <c r="R108" s="969"/>
      <c r="S108" s="969"/>
      <c r="T108" s="969"/>
      <c r="U108" s="969"/>
      <c r="V108" s="970"/>
      <c r="Y108" s="968"/>
      <c r="Z108" s="969"/>
      <c r="AA108" s="969"/>
      <c r="AB108" s="969"/>
      <c r="AC108" s="969"/>
      <c r="AD108" s="969"/>
      <c r="AE108" s="970"/>
      <c r="AH108" s="89"/>
    </row>
    <row r="109" spans="1:34" ht="12.75" customHeight="1">
      <c r="B109" s="89"/>
      <c r="D109" s="229" t="s">
        <v>173</v>
      </c>
      <c r="E109" s="230">
        <f>IF(VR_TDC*0.3&gt;10,10,VR_TDC*0.3)</f>
        <v>10</v>
      </c>
      <c r="F109" s="231"/>
      <c r="M109" s="13"/>
      <c r="O109" s="13"/>
      <c r="P109" s="968"/>
      <c r="Q109" s="969"/>
      <c r="R109" s="969"/>
      <c r="S109" s="969"/>
      <c r="T109" s="969"/>
      <c r="U109" s="969"/>
      <c r="V109" s="970"/>
      <c r="Y109" s="968"/>
      <c r="Z109" s="969"/>
      <c r="AA109" s="969"/>
      <c r="AB109" s="969"/>
      <c r="AC109" s="969"/>
      <c r="AD109" s="969"/>
      <c r="AE109" s="970"/>
      <c r="AH109" s="89"/>
    </row>
    <row r="110" spans="1:34" ht="12.75" customHeight="1">
      <c r="B110" s="89"/>
      <c r="D110" s="229" t="s">
        <v>174</v>
      </c>
      <c r="E110" s="230" t="s">
        <v>177</v>
      </c>
      <c r="F110" s="59"/>
      <c r="G110" s="114"/>
      <c r="H110" s="1033" t="s">
        <v>114</v>
      </c>
      <c r="I110" s="975"/>
      <c r="J110" s="975"/>
      <c r="K110" s="976"/>
      <c r="L110"/>
      <c r="P110" s="968"/>
      <c r="Q110" s="969"/>
      <c r="R110" s="969"/>
      <c r="S110" s="969"/>
      <c r="T110" s="969"/>
      <c r="U110" s="969"/>
      <c r="V110" s="970"/>
      <c r="Y110" s="968"/>
      <c r="Z110" s="969"/>
      <c r="AA110" s="969"/>
      <c r="AB110" s="969"/>
      <c r="AC110" s="969"/>
      <c r="AD110" s="969"/>
      <c r="AE110" s="970"/>
      <c r="AH110" s="89"/>
    </row>
    <row r="111" spans="1:34" ht="12.75" customHeight="1">
      <c r="B111" s="89"/>
      <c r="D111" s="229" t="s">
        <v>176</v>
      </c>
      <c r="E111" s="230" t="s">
        <v>175</v>
      </c>
      <c r="G111" s="114"/>
      <c r="H111" s="1034"/>
      <c r="I111" s="981"/>
      <c r="J111" s="981"/>
      <c r="K111" s="982"/>
      <c r="L111" s="67" t="str">
        <f>$E$108&amp;" to "&amp;$E$107</f>
        <v>0.3 to 0.9</v>
      </c>
      <c r="M111" s="118">
        <v>18.309999999999999</v>
      </c>
      <c r="O111" s="119"/>
      <c r="P111" s="968"/>
      <c r="Q111" s="969"/>
      <c r="R111" s="969"/>
      <c r="S111" s="969"/>
      <c r="T111" s="969"/>
      <c r="U111" s="969"/>
      <c r="V111" s="970"/>
      <c r="Y111" s="968"/>
      <c r="Z111" s="969"/>
      <c r="AA111" s="969"/>
      <c r="AB111" s="969"/>
      <c r="AC111" s="969"/>
      <c r="AD111" s="969"/>
      <c r="AE111" s="970"/>
      <c r="AH111" s="89"/>
    </row>
    <row r="112" spans="1:34" ht="12.75" customHeight="1">
      <c r="B112" s="89"/>
      <c r="D112" s="229" t="s">
        <v>195</v>
      </c>
      <c r="E112" s="290">
        <v>1</v>
      </c>
      <c r="G112" s="114"/>
      <c r="M112" s="119"/>
      <c r="O112" s="119"/>
      <c r="P112" s="968"/>
      <c r="Q112" s="969"/>
      <c r="R112" s="969"/>
      <c r="S112" s="969"/>
      <c r="T112" s="969"/>
      <c r="U112" s="969"/>
      <c r="V112" s="970"/>
      <c r="Y112" s="968"/>
      <c r="Z112" s="969"/>
      <c r="AA112" s="969"/>
      <c r="AB112" s="969"/>
      <c r="AC112" s="969"/>
      <c r="AD112" s="969"/>
      <c r="AE112" s="970"/>
      <c r="AH112" s="89"/>
    </row>
    <row r="113" spans="2:34" ht="12.75" customHeight="1">
      <c r="B113" s="89"/>
      <c r="D113" s="229" t="s">
        <v>196</v>
      </c>
      <c r="E113" s="290">
        <v>1</v>
      </c>
      <c r="G113" s="114"/>
      <c r="H113" s="1033" t="str">
        <f>"Voltage level "&amp;dVID_Settle&amp;"us after ALERT# assertion"</f>
        <v>Voltage level 1us after ALERT# assertion</v>
      </c>
      <c r="I113" s="975"/>
      <c r="J113" s="975"/>
      <c r="K113" s="976"/>
      <c r="L113"/>
      <c r="O113" s="119"/>
      <c r="P113" s="968"/>
      <c r="Q113" s="969"/>
      <c r="R113" s="969"/>
      <c r="S113" s="969"/>
      <c r="T113" s="969"/>
      <c r="U113" s="969"/>
      <c r="V113" s="970"/>
      <c r="Y113" s="968"/>
      <c r="Z113" s="969"/>
      <c r="AA113" s="969"/>
      <c r="AB113" s="969"/>
      <c r="AC113" s="969"/>
      <c r="AD113" s="969"/>
      <c r="AE113" s="970"/>
      <c r="AH113" s="89"/>
    </row>
    <row r="114" spans="2:34" ht="12.75" customHeight="1">
      <c r="B114" s="89"/>
      <c r="E114" s="114"/>
      <c r="F114" s="114"/>
      <c r="H114" s="1034"/>
      <c r="I114" s="981"/>
      <c r="J114" s="981"/>
      <c r="K114" s="982"/>
      <c r="L114" s="67" t="str">
        <f>$E$108&amp;" to "&amp;$E$107</f>
        <v>0.3 to 0.9</v>
      </c>
      <c r="M114" s="308">
        <v>0.87235399999999996</v>
      </c>
      <c r="O114" s="80"/>
      <c r="P114" s="968"/>
      <c r="Q114" s="969"/>
      <c r="R114" s="969"/>
      <c r="S114" s="969"/>
      <c r="T114" s="969"/>
      <c r="U114" s="969"/>
      <c r="V114" s="970"/>
      <c r="Y114" s="968"/>
      <c r="Z114" s="969"/>
      <c r="AA114" s="969"/>
      <c r="AB114" s="969"/>
      <c r="AC114" s="969"/>
      <c r="AD114" s="969"/>
      <c r="AE114" s="970"/>
      <c r="AH114" s="89"/>
    </row>
    <row r="115" spans="2:34" ht="12.75" customHeight="1">
      <c r="B115" s="89"/>
      <c r="N115" s="80"/>
      <c r="O115" s="80"/>
      <c r="P115" s="968"/>
      <c r="Q115" s="969"/>
      <c r="R115" s="969"/>
      <c r="S115" s="969"/>
      <c r="T115" s="969"/>
      <c r="U115" s="969"/>
      <c r="V115" s="970"/>
      <c r="Y115" s="968"/>
      <c r="Z115" s="969"/>
      <c r="AA115" s="969"/>
      <c r="AB115" s="969"/>
      <c r="AC115" s="969"/>
      <c r="AD115" s="969"/>
      <c r="AE115" s="970"/>
      <c r="AH115" s="89"/>
    </row>
    <row r="116" spans="2:34" ht="12.75" customHeight="1">
      <c r="B116" s="89"/>
      <c r="H116" s="1033" t="s">
        <v>317</v>
      </c>
      <c r="I116" s="975"/>
      <c r="J116" s="975"/>
      <c r="K116" s="976"/>
      <c r="L116"/>
      <c r="N116" s="80"/>
      <c r="O116" s="80"/>
      <c r="P116" s="968"/>
      <c r="Q116" s="969"/>
      <c r="R116" s="969"/>
      <c r="S116" s="969"/>
      <c r="T116" s="969"/>
      <c r="U116" s="969"/>
      <c r="V116" s="970"/>
      <c r="Y116" s="968"/>
      <c r="Z116" s="969"/>
      <c r="AA116" s="969"/>
      <c r="AB116" s="969"/>
      <c r="AC116" s="969"/>
      <c r="AD116" s="969"/>
      <c r="AE116" s="970"/>
      <c r="AH116" s="89"/>
    </row>
    <row r="117" spans="2:34" ht="12.75" customHeight="1">
      <c r="B117" s="89"/>
      <c r="H117" s="1034"/>
      <c r="I117" s="981"/>
      <c r="J117" s="981"/>
      <c r="K117" s="982"/>
      <c r="L117" s="67" t="str">
        <f>$E$107&amp;" to "&amp;$E$108</f>
        <v>0.9 to 0.3</v>
      </c>
      <c r="M117" s="308">
        <v>0</v>
      </c>
      <c r="N117" s="80"/>
      <c r="O117" s="80"/>
      <c r="P117" s="968"/>
      <c r="Q117" s="969"/>
      <c r="R117" s="969"/>
      <c r="S117" s="969"/>
      <c r="T117" s="969"/>
      <c r="U117" s="969"/>
      <c r="V117" s="970"/>
      <c r="Y117" s="968"/>
      <c r="Z117" s="969"/>
      <c r="AA117" s="969"/>
      <c r="AB117" s="969"/>
      <c r="AC117" s="969"/>
      <c r="AD117" s="969"/>
      <c r="AE117" s="970"/>
      <c r="AH117" s="89"/>
    </row>
    <row r="118" spans="2:34" ht="12.75" customHeight="1" thickBot="1">
      <c r="B118" s="89"/>
      <c r="N118" s="80"/>
      <c r="O118" s="80"/>
      <c r="P118" s="968"/>
      <c r="Q118" s="969"/>
      <c r="R118" s="969"/>
      <c r="S118" s="969"/>
      <c r="T118" s="969"/>
      <c r="U118" s="969"/>
      <c r="V118" s="970"/>
      <c r="Y118" s="968"/>
      <c r="Z118" s="969"/>
      <c r="AA118" s="969"/>
      <c r="AB118" s="969"/>
      <c r="AC118" s="969"/>
      <c r="AD118" s="969"/>
      <c r="AE118" s="970"/>
      <c r="AH118" s="89"/>
    </row>
    <row r="119" spans="2:34" ht="13.5" customHeight="1">
      <c r="B119" s="89"/>
      <c r="D119" s="925" t="s">
        <v>128</v>
      </c>
      <c r="E119" s="926"/>
      <c r="F119" s="926"/>
      <c r="G119" s="926"/>
      <c r="H119" s="927"/>
      <c r="J119" s="1035" t="s">
        <v>40</v>
      </c>
      <c r="K119" s="1036"/>
      <c r="L119" s="1036"/>
      <c r="M119" s="1037"/>
      <c r="N119" s="80"/>
      <c r="O119" s="80"/>
      <c r="P119" s="968"/>
      <c r="Q119" s="969"/>
      <c r="R119" s="969"/>
      <c r="S119" s="969"/>
      <c r="T119" s="969"/>
      <c r="U119" s="969"/>
      <c r="V119" s="970"/>
      <c r="Y119" s="968"/>
      <c r="Z119" s="969"/>
      <c r="AA119" s="969"/>
      <c r="AB119" s="969"/>
      <c r="AC119" s="969"/>
      <c r="AD119" s="969"/>
      <c r="AE119" s="970"/>
      <c r="AH119" s="89"/>
    </row>
    <row r="120" spans="2:34" ht="12.75" customHeight="1">
      <c r="B120" s="89"/>
      <c r="D120" s="1022" t="s">
        <v>115</v>
      </c>
      <c r="E120" s="931"/>
      <c r="F120" s="931"/>
      <c r="G120" s="872"/>
      <c r="H120" s="183">
        <f>MAX(M110,M111)</f>
        <v>18.309999999999999</v>
      </c>
      <c r="J120" s="1022" t="s">
        <v>116</v>
      </c>
      <c r="K120" s="931"/>
      <c r="L120" s="872"/>
      <c r="M120" s="184">
        <f>(E107-E108)/(SetVID_FAST*0.001)</f>
        <v>20.000000000000004</v>
      </c>
      <c r="N120" s="146"/>
      <c r="O120" s="146"/>
      <c r="P120" s="968"/>
      <c r="Q120" s="969"/>
      <c r="R120" s="969"/>
      <c r="S120" s="969"/>
      <c r="T120" s="969"/>
      <c r="U120" s="969"/>
      <c r="V120" s="970"/>
      <c r="Y120" s="968"/>
      <c r="Z120" s="969"/>
      <c r="AA120" s="969"/>
      <c r="AB120" s="969"/>
      <c r="AC120" s="969"/>
      <c r="AD120" s="969"/>
      <c r="AE120" s="970"/>
      <c r="AH120" s="89"/>
    </row>
    <row r="121" spans="2:34" ht="12.75" customHeight="1">
      <c r="B121" s="89"/>
      <c r="D121" s="29"/>
      <c r="E121" s="17"/>
      <c r="F121" s="17"/>
      <c r="G121" s="17"/>
      <c r="H121" s="30"/>
      <c r="J121" s="29"/>
      <c r="K121" s="17"/>
      <c r="L121" s="24"/>
      <c r="M121" s="30"/>
      <c r="N121" s="146"/>
      <c r="O121" s="146"/>
      <c r="P121" s="968"/>
      <c r="Q121" s="969"/>
      <c r="R121" s="969"/>
      <c r="S121" s="969"/>
      <c r="T121" s="969"/>
      <c r="U121" s="969"/>
      <c r="V121" s="970"/>
      <c r="Y121" s="968"/>
      <c r="Z121" s="969"/>
      <c r="AA121" s="969"/>
      <c r="AB121" s="969"/>
      <c r="AC121" s="969"/>
      <c r="AD121" s="969"/>
      <c r="AE121" s="970"/>
      <c r="AH121" s="89"/>
    </row>
    <row r="122" spans="2:34" ht="15.75" customHeight="1" thickBot="1">
      <c r="B122" s="89"/>
      <c r="D122" s="1041" t="str">
        <f>"Voltage change "&amp;dVID_Settle&amp;"us after ALERT to settled"</f>
        <v>Voltage change 1us after ALERT to settled</v>
      </c>
      <c r="E122" s="1042"/>
      <c r="F122" s="1042"/>
      <c r="G122" s="949"/>
      <c r="H122" s="307">
        <f>(M108-M114)*1000</f>
        <v>17.446000000000073</v>
      </c>
      <c r="I122" s="13"/>
      <c r="J122" s="879" t="s">
        <v>194</v>
      </c>
      <c r="K122" s="880"/>
      <c r="L122" s="880"/>
      <c r="M122" s="306">
        <f>V_TOB_IMAX_in_PS0-V_TOB_Imin+Ripple_PS0</f>
        <v>30</v>
      </c>
      <c r="N122" s="23"/>
      <c r="O122" s="23"/>
      <c r="P122" s="968"/>
      <c r="Q122" s="969"/>
      <c r="R122" s="969"/>
      <c r="S122" s="969"/>
      <c r="T122" s="969"/>
      <c r="U122" s="969"/>
      <c r="V122" s="970"/>
      <c r="Y122" s="968"/>
      <c r="Z122" s="969"/>
      <c r="AA122" s="969"/>
      <c r="AB122" s="969"/>
      <c r="AC122" s="969"/>
      <c r="AD122" s="969"/>
      <c r="AE122" s="970"/>
      <c r="AH122" s="89"/>
    </row>
    <row r="123" spans="2:34" ht="13.5" customHeight="1">
      <c r="B123" s="89"/>
      <c r="D123" s="29"/>
      <c r="E123" s="17"/>
      <c r="F123" s="17"/>
      <c r="G123" s="17"/>
      <c r="H123" s="30"/>
      <c r="J123" s="29"/>
      <c r="K123" s="17"/>
      <c r="L123" s="24"/>
      <c r="M123" s="30"/>
      <c r="N123" s="23"/>
      <c r="O123" s="23"/>
      <c r="P123" s="968"/>
      <c r="Q123" s="969"/>
      <c r="R123" s="969"/>
      <c r="S123" s="969"/>
      <c r="T123" s="969"/>
      <c r="U123" s="969"/>
      <c r="V123" s="970"/>
      <c r="Y123" s="968"/>
      <c r="Z123" s="969"/>
      <c r="AA123" s="969"/>
      <c r="AB123" s="969"/>
      <c r="AC123" s="969"/>
      <c r="AD123" s="969"/>
      <c r="AE123" s="970"/>
      <c r="AH123" s="89"/>
    </row>
    <row r="124" spans="2:34" ht="13.5" thickBot="1">
      <c r="B124" s="89"/>
      <c r="D124" s="879" t="s">
        <v>318</v>
      </c>
      <c r="E124" s="880"/>
      <c r="F124" s="880"/>
      <c r="G124" s="880"/>
      <c r="H124" s="307">
        <f>M117</f>
        <v>0</v>
      </c>
      <c r="I124" s="13"/>
      <c r="J124" s="879" t="s">
        <v>319</v>
      </c>
      <c r="K124" s="880"/>
      <c r="L124" s="880"/>
      <c r="M124" s="306">
        <f>V_Undershoot</f>
        <v>0</v>
      </c>
      <c r="P124" s="971"/>
      <c r="Q124" s="972"/>
      <c r="R124" s="972"/>
      <c r="S124" s="972"/>
      <c r="T124" s="972"/>
      <c r="U124" s="972"/>
      <c r="V124" s="973"/>
      <c r="Y124" s="971"/>
      <c r="Z124" s="972"/>
      <c r="AA124" s="972"/>
      <c r="AB124" s="972"/>
      <c r="AC124" s="972"/>
      <c r="AD124" s="972"/>
      <c r="AE124" s="973"/>
      <c r="AH124" s="89"/>
    </row>
    <row r="125" spans="2:34" ht="15.75">
      <c r="B125" s="89"/>
      <c r="D125" s="24"/>
      <c r="E125" s="24"/>
      <c r="F125" s="24"/>
      <c r="G125" s="85"/>
      <c r="H125" s="87"/>
      <c r="J125" s="24"/>
      <c r="K125" s="24"/>
      <c r="L125" s="23"/>
      <c r="M125" s="23"/>
      <c r="N125" s="23"/>
      <c r="O125" s="23"/>
      <c r="P125" s="73"/>
      <c r="Q125" s="73"/>
      <c r="R125" s="73"/>
      <c r="S125" s="73"/>
      <c r="T125" s="73"/>
      <c r="U125" s="73"/>
      <c r="V125" s="73"/>
      <c r="Y125" s="73"/>
      <c r="Z125" s="73"/>
      <c r="AA125" s="73"/>
      <c r="AB125" s="73"/>
      <c r="AC125" s="73"/>
      <c r="AD125" s="73"/>
      <c r="AE125" s="73"/>
      <c r="AH125" s="89"/>
    </row>
    <row r="126" spans="2:34" ht="13.5" customHeight="1">
      <c r="B126" s="89"/>
      <c r="D126" s="884" t="s">
        <v>117</v>
      </c>
      <c r="E126" s="884"/>
      <c r="F126" s="884"/>
      <c r="G126" s="884"/>
      <c r="H126" s="884"/>
      <c r="I126" s="884"/>
      <c r="J126" s="884"/>
      <c r="K126" s="884"/>
      <c r="L126" s="153" t="s">
        <v>51</v>
      </c>
      <c r="M126" s="23"/>
      <c r="N126" s="23"/>
      <c r="O126" s="23"/>
      <c r="P126" s="73"/>
      <c r="Q126" s="73"/>
      <c r="R126" s="73"/>
      <c r="S126" s="73"/>
      <c r="T126" s="73"/>
      <c r="U126" s="73"/>
      <c r="V126" s="73"/>
      <c r="Y126" s="73"/>
      <c r="Z126" s="73"/>
      <c r="AA126" s="73"/>
      <c r="AB126" s="73"/>
      <c r="AC126" s="73"/>
      <c r="AD126" s="73"/>
      <c r="AE126" s="73"/>
      <c r="AH126" s="89"/>
    </row>
    <row r="127" spans="2:34" ht="12.75" customHeight="1">
      <c r="B127" s="89"/>
      <c r="D127" s="295" t="str">
        <f>"Is the voltage change from "&amp;dVID_Settle&amp;"us to Settled less than the TOB value?"</f>
        <v>Is the voltage change from 1us to Settled less than the TOB value?</v>
      </c>
      <c r="E127" s="296"/>
      <c r="F127" s="296"/>
      <c r="G127" s="296"/>
      <c r="H127" s="296"/>
      <c r="I127" s="296"/>
      <c r="J127" s="296"/>
      <c r="K127" s="220"/>
      <c r="L127" s="153" t="s">
        <v>51</v>
      </c>
      <c r="M127" s="23"/>
      <c r="N127" s="23"/>
      <c r="O127" s="23"/>
      <c r="P127" s="958" t="s">
        <v>76</v>
      </c>
      <c r="Q127" s="958"/>
      <c r="R127" s="958"/>
      <c r="S127" s="958"/>
      <c r="T127" s="958"/>
      <c r="U127" s="958"/>
      <c r="V127" s="958"/>
      <c r="W127" s="96"/>
      <c r="X127" s="96"/>
      <c r="Y127" s="958" t="s">
        <v>77</v>
      </c>
      <c r="Z127" s="958"/>
      <c r="AA127" s="958"/>
      <c r="AB127" s="958"/>
      <c r="AC127" s="958"/>
      <c r="AD127" s="958"/>
      <c r="AE127" s="958"/>
      <c r="AF127" s="96"/>
      <c r="AH127" s="89"/>
    </row>
    <row r="128" spans="2:34" ht="12.75" customHeight="1">
      <c r="B128" s="89"/>
      <c r="D128" s="895" t="s">
        <v>320</v>
      </c>
      <c r="E128" s="896"/>
      <c r="F128" s="896"/>
      <c r="G128" s="896"/>
      <c r="H128" s="896"/>
      <c r="I128" s="896"/>
      <c r="J128" s="896"/>
      <c r="K128" s="897"/>
      <c r="L128" s="153" t="s">
        <v>51</v>
      </c>
      <c r="M128" s="23"/>
      <c r="N128" s="23"/>
      <c r="O128" s="23"/>
      <c r="P128" s="958"/>
      <c r="Q128" s="958"/>
      <c r="R128" s="958"/>
      <c r="S128" s="958"/>
      <c r="T128" s="958"/>
      <c r="U128" s="958"/>
      <c r="V128" s="958"/>
      <c r="W128" s="96"/>
      <c r="X128" s="96"/>
      <c r="Y128" s="958"/>
      <c r="Z128" s="958"/>
      <c r="AA128" s="958"/>
      <c r="AB128" s="958"/>
      <c r="AC128" s="958"/>
      <c r="AD128" s="958"/>
      <c r="AE128" s="958"/>
      <c r="AF128" s="96"/>
      <c r="AH128" s="89"/>
    </row>
    <row r="129" spans="1:34">
      <c r="B129" s="89"/>
      <c r="M129" s="23"/>
      <c r="N129" s="23"/>
      <c r="O129" s="23"/>
      <c r="P129" s="958"/>
      <c r="Q129" s="958"/>
      <c r="R129" s="958"/>
      <c r="S129" s="958"/>
      <c r="T129" s="958"/>
      <c r="U129" s="958"/>
      <c r="V129" s="958"/>
      <c r="W129" s="154" t="s">
        <v>51</v>
      </c>
      <c r="X129" s="97"/>
      <c r="Y129" s="958"/>
      <c r="Z129" s="958"/>
      <c r="AA129" s="958"/>
      <c r="AB129" s="958"/>
      <c r="AC129" s="958"/>
      <c r="AD129" s="958"/>
      <c r="AE129" s="958"/>
      <c r="AF129" s="154" t="s">
        <v>51</v>
      </c>
      <c r="AH129" s="89"/>
    </row>
    <row r="130" spans="1:34">
      <c r="B130" s="89"/>
      <c r="H130" s="13"/>
      <c r="M130" s="80"/>
      <c r="N130" s="80"/>
      <c r="O130" s="80"/>
      <c r="P130" s="66"/>
      <c r="Q130" s="66"/>
      <c r="R130" s="66"/>
      <c r="S130" s="66"/>
      <c r="T130" s="66"/>
      <c r="U130" s="66"/>
      <c r="V130" s="66"/>
      <c r="AH130" s="89"/>
    </row>
    <row r="131" spans="1:34" ht="12.75" customHeight="1">
      <c r="B131" s="89"/>
      <c r="C131" s="89"/>
      <c r="D131" s="89"/>
      <c r="E131" s="89"/>
      <c r="F131" s="89"/>
      <c r="G131" s="89"/>
      <c r="H131" s="95"/>
      <c r="I131" s="89"/>
      <c r="J131" s="89"/>
      <c r="K131" s="89"/>
      <c r="L131" s="95"/>
      <c r="M131" s="89"/>
      <c r="N131" s="89"/>
      <c r="O131" s="89"/>
      <c r="P131" s="93"/>
      <c r="Q131" s="93"/>
      <c r="R131" s="93"/>
      <c r="S131" s="93"/>
      <c r="T131" s="93"/>
      <c r="U131" s="93"/>
      <c r="V131" s="93"/>
      <c r="W131" s="89"/>
      <c r="X131" s="89"/>
      <c r="Y131" s="89"/>
      <c r="Z131" s="89"/>
      <c r="AA131" s="89"/>
      <c r="AB131" s="89"/>
      <c r="AC131" s="89"/>
      <c r="AD131" s="89"/>
      <c r="AE131" s="89"/>
      <c r="AF131" s="89"/>
      <c r="AG131" s="89"/>
      <c r="AH131" s="89"/>
    </row>
    <row r="134" spans="1:34">
      <c r="A134" s="126" t="s">
        <v>58</v>
      </c>
      <c r="B134" s="89"/>
      <c r="C134" s="89"/>
      <c r="D134" s="90"/>
      <c r="E134" s="91"/>
      <c r="F134" s="91"/>
      <c r="G134" s="91"/>
      <c r="H134" s="92"/>
      <c r="I134" s="91"/>
      <c r="J134" s="91"/>
      <c r="K134" s="93"/>
      <c r="L134" s="145"/>
      <c r="M134" s="93"/>
      <c r="N134" s="93"/>
      <c r="O134" s="93"/>
      <c r="P134" s="89"/>
      <c r="Q134" s="89"/>
      <c r="R134" s="89"/>
      <c r="S134" s="89"/>
      <c r="T134" s="89"/>
      <c r="U134" s="89"/>
      <c r="V134" s="89"/>
      <c r="W134" s="93"/>
      <c r="X134" s="93"/>
      <c r="Y134" s="89"/>
      <c r="Z134" s="89"/>
      <c r="AA134" s="89"/>
      <c r="AB134" s="89"/>
      <c r="AC134" s="89"/>
      <c r="AD134" s="89"/>
      <c r="AE134" s="89"/>
      <c r="AF134" s="89"/>
      <c r="AG134" s="89"/>
      <c r="AH134" s="89"/>
    </row>
    <row r="135" spans="1:34" ht="13.5" thickBot="1">
      <c r="A135" s="127" t="s">
        <v>51</v>
      </c>
      <c r="B135" s="89"/>
      <c r="H135" s="13"/>
      <c r="M135" s="80"/>
      <c r="N135" s="80"/>
      <c r="O135" s="80"/>
      <c r="AH135" s="89"/>
    </row>
    <row r="136" spans="1:34" ht="32.25" customHeight="1">
      <c r="A136" s="128" t="s">
        <v>50</v>
      </c>
      <c r="B136" s="89"/>
      <c r="D136" s="955" t="s">
        <v>240</v>
      </c>
      <c r="E136" s="956"/>
      <c r="F136" s="956"/>
      <c r="G136" s="956"/>
      <c r="H136" s="956"/>
      <c r="I136" s="956"/>
      <c r="J136" s="956"/>
      <c r="K136" s="956"/>
      <c r="M136" s="80"/>
      <c r="N136" s="80"/>
      <c r="O136" s="80"/>
      <c r="P136" s="965" t="s">
        <v>74</v>
      </c>
      <c r="Q136" s="966"/>
      <c r="R136" s="966"/>
      <c r="S136" s="966"/>
      <c r="T136" s="966"/>
      <c r="U136" s="966"/>
      <c r="V136" s="967"/>
      <c r="Y136" s="965" t="s">
        <v>75</v>
      </c>
      <c r="Z136" s="966"/>
      <c r="AA136" s="966"/>
      <c r="AB136" s="966"/>
      <c r="AC136" s="966"/>
      <c r="AD136" s="966"/>
      <c r="AE136" s="967"/>
      <c r="AH136" s="89"/>
    </row>
    <row r="137" spans="1:34" ht="15.75">
      <c r="A137" s="88"/>
      <c r="B137" s="89"/>
      <c r="D137" s="225"/>
      <c r="E137" s="226"/>
      <c r="F137" s="289"/>
      <c r="G137" s="116"/>
      <c r="H137" s="116"/>
      <c r="I137" s="116"/>
      <c r="J137" s="116"/>
      <c r="K137" s="116"/>
      <c r="L137" s="67" t="s">
        <v>88</v>
      </c>
      <c r="M137" s="260" t="s">
        <v>197</v>
      </c>
      <c r="O137" s="23"/>
      <c r="P137" s="968"/>
      <c r="Q137" s="969"/>
      <c r="R137" s="969"/>
      <c r="S137" s="969"/>
      <c r="T137" s="969"/>
      <c r="U137" s="969"/>
      <c r="V137" s="970"/>
      <c r="Y137" s="968"/>
      <c r="Z137" s="969"/>
      <c r="AA137" s="969"/>
      <c r="AB137" s="969"/>
      <c r="AC137" s="969"/>
      <c r="AD137" s="969"/>
      <c r="AE137" s="970"/>
      <c r="AH137" s="89"/>
    </row>
    <row r="138" spans="1:34" ht="12.75" customHeight="1">
      <c r="B138" s="89"/>
      <c r="D138" s="227" t="s">
        <v>171</v>
      </c>
      <c r="E138" s="228">
        <f>VID_1</f>
        <v>0.9</v>
      </c>
      <c r="F138" s="289"/>
      <c r="H138" s="1033" t="str">
        <f>"Static voltage level at "&amp;E138&amp;"V"</f>
        <v>Static voltage level at 0.9V</v>
      </c>
      <c r="I138" s="975"/>
      <c r="J138" s="975"/>
      <c r="K138" s="976"/>
      <c r="L138"/>
      <c r="O138" s="123"/>
      <c r="P138" s="968"/>
      <c r="Q138" s="969"/>
      <c r="R138" s="969"/>
      <c r="S138" s="969"/>
      <c r="T138" s="969"/>
      <c r="U138" s="969"/>
      <c r="V138" s="970"/>
      <c r="Y138" s="968"/>
      <c r="Z138" s="969"/>
      <c r="AA138" s="969"/>
      <c r="AB138" s="969"/>
      <c r="AC138" s="969"/>
      <c r="AD138" s="969"/>
      <c r="AE138" s="970"/>
      <c r="AH138" s="89"/>
    </row>
    <row r="139" spans="1:34" ht="12.75" customHeight="1">
      <c r="B139" s="89"/>
      <c r="D139" s="227" t="s">
        <v>172</v>
      </c>
      <c r="E139" s="228">
        <f>VID_2</f>
        <v>0.6</v>
      </c>
      <c r="F139" s="289"/>
      <c r="H139" s="1034"/>
      <c r="I139" s="981"/>
      <c r="J139" s="981"/>
      <c r="K139" s="982"/>
      <c r="L139" s="309">
        <f>E138</f>
        <v>0.9</v>
      </c>
      <c r="M139" s="308">
        <v>0.89939999999999998</v>
      </c>
      <c r="O139" s="123"/>
      <c r="P139" s="968"/>
      <c r="Q139" s="969"/>
      <c r="R139" s="969"/>
      <c r="S139" s="969"/>
      <c r="T139" s="969"/>
      <c r="U139" s="969"/>
      <c r="V139" s="970"/>
      <c r="Y139" s="968"/>
      <c r="Z139" s="969"/>
      <c r="AA139" s="969"/>
      <c r="AB139" s="969"/>
      <c r="AC139" s="969"/>
      <c r="AD139" s="969"/>
      <c r="AE139" s="970"/>
      <c r="AH139" s="89"/>
    </row>
    <row r="140" spans="1:34" ht="12.75" customHeight="1">
      <c r="B140" s="89"/>
      <c r="D140" s="229" t="s">
        <v>173</v>
      </c>
      <c r="E140" s="552">
        <f>IF(VR_TDC&lt;5,2,5)</f>
        <v>5</v>
      </c>
      <c r="F140" s="231"/>
      <c r="M140" s="13"/>
      <c r="O140" s="119"/>
      <c r="P140" s="968"/>
      <c r="Q140" s="969"/>
      <c r="R140" s="969"/>
      <c r="S140" s="969"/>
      <c r="T140" s="969"/>
      <c r="U140" s="969"/>
      <c r="V140" s="970"/>
      <c r="Y140" s="968"/>
      <c r="Z140" s="969"/>
      <c r="AA140" s="969"/>
      <c r="AB140" s="969"/>
      <c r="AC140" s="969"/>
      <c r="AD140" s="969"/>
      <c r="AE140" s="970"/>
      <c r="AH140" s="89"/>
    </row>
    <row r="141" spans="1:34" ht="12.75" customHeight="1">
      <c r="B141" s="89"/>
      <c r="D141" s="229" t="s">
        <v>174</v>
      </c>
      <c r="E141" s="230" t="s">
        <v>178</v>
      </c>
      <c r="F141" s="576" t="s">
        <v>452</v>
      </c>
      <c r="G141" s="577" t="s">
        <v>453</v>
      </c>
      <c r="H141" s="578"/>
      <c r="I141" s="578"/>
      <c r="J141" s="578"/>
      <c r="K141" s="579"/>
      <c r="P141" s="968"/>
      <c r="Q141" s="969"/>
      <c r="R141" s="969"/>
      <c r="S141" s="969"/>
      <c r="T141" s="969"/>
      <c r="U141" s="969"/>
      <c r="V141" s="970"/>
      <c r="Y141" s="968"/>
      <c r="Z141" s="969"/>
      <c r="AA141" s="969"/>
      <c r="AB141" s="969"/>
      <c r="AC141" s="969"/>
      <c r="AD141" s="969"/>
      <c r="AE141" s="970"/>
      <c r="AH141" s="89"/>
    </row>
    <row r="142" spans="1:34" ht="12.75" customHeight="1">
      <c r="B142" s="89"/>
      <c r="D142" s="229" t="s">
        <v>176</v>
      </c>
      <c r="E142" s="230" t="s">
        <v>175</v>
      </c>
      <c r="G142" s="114"/>
      <c r="H142" s="1045" t="s">
        <v>114</v>
      </c>
      <c r="I142" s="978"/>
      <c r="J142" s="978"/>
      <c r="K142" s="979"/>
      <c r="M142" s="13"/>
      <c r="O142" s="119"/>
      <c r="P142" s="968"/>
      <c r="Q142" s="969"/>
      <c r="R142" s="969"/>
      <c r="S142" s="969"/>
      <c r="T142" s="969"/>
      <c r="U142" s="969"/>
      <c r="V142" s="970"/>
      <c r="Y142" s="968"/>
      <c r="Z142" s="969"/>
      <c r="AA142" s="969"/>
      <c r="AB142" s="969"/>
      <c r="AC142" s="969"/>
      <c r="AD142" s="969"/>
      <c r="AE142" s="970"/>
      <c r="AH142" s="89"/>
    </row>
    <row r="143" spans="1:34" ht="12.75" customHeight="1">
      <c r="B143" s="89"/>
      <c r="D143" s="229" t="s">
        <v>195</v>
      </c>
      <c r="E143" s="290">
        <v>2</v>
      </c>
      <c r="G143" s="114"/>
      <c r="H143" s="1034"/>
      <c r="I143" s="981"/>
      <c r="J143" s="981"/>
      <c r="K143" s="982"/>
      <c r="L143" s="67" t="str">
        <f>$E$139&amp;" to "&amp;$E$138</f>
        <v>0.6 to 0.9</v>
      </c>
      <c r="M143" s="118">
        <v>9.4410000000000007</v>
      </c>
      <c r="O143" s="119"/>
      <c r="P143" s="968"/>
      <c r="Q143" s="969"/>
      <c r="R143" s="969"/>
      <c r="S143" s="969"/>
      <c r="T143" s="969"/>
      <c r="U143" s="969"/>
      <c r="V143" s="970"/>
      <c r="Y143" s="968"/>
      <c r="Z143" s="969"/>
      <c r="AA143" s="969"/>
      <c r="AB143" s="969"/>
      <c r="AC143" s="969"/>
      <c r="AD143" s="969"/>
      <c r="AE143" s="970"/>
      <c r="AH143" s="89"/>
    </row>
    <row r="144" spans="1:34" ht="12.75" customHeight="1">
      <c r="B144" s="89"/>
      <c r="D144" s="229" t="s">
        <v>196</v>
      </c>
      <c r="E144" s="290">
        <v>2</v>
      </c>
      <c r="G144" s="114"/>
      <c r="M144" s="119"/>
      <c r="O144" s="119"/>
      <c r="P144" s="968"/>
      <c r="Q144" s="969"/>
      <c r="R144" s="969"/>
      <c r="S144" s="969"/>
      <c r="T144" s="969"/>
      <c r="U144" s="969"/>
      <c r="V144" s="970"/>
      <c r="Y144" s="968"/>
      <c r="Z144" s="969"/>
      <c r="AA144" s="969"/>
      <c r="AB144" s="969"/>
      <c r="AC144" s="969"/>
      <c r="AD144" s="969"/>
      <c r="AE144" s="970"/>
      <c r="AH144" s="89"/>
    </row>
    <row r="145" spans="2:34" ht="12.75" customHeight="1">
      <c r="B145" s="89"/>
      <c r="E145" s="114"/>
      <c r="F145" s="114"/>
      <c r="H145" s="1033" t="str">
        <f>"Voltage level "&amp;dVID_Settle&amp;"us after ALERT# assertion"</f>
        <v>Voltage level 1us after ALERT# assertion</v>
      </c>
      <c r="I145" s="975"/>
      <c r="J145" s="975"/>
      <c r="K145" s="976"/>
      <c r="L145"/>
      <c r="O145" s="80"/>
      <c r="P145" s="968"/>
      <c r="Q145" s="969"/>
      <c r="R145" s="969"/>
      <c r="S145" s="969"/>
      <c r="T145" s="969"/>
      <c r="U145" s="969"/>
      <c r="V145" s="970"/>
      <c r="Y145" s="968"/>
      <c r="Z145" s="969"/>
      <c r="AA145" s="969"/>
      <c r="AB145" s="969"/>
      <c r="AC145" s="969"/>
      <c r="AD145" s="969"/>
      <c r="AE145" s="970"/>
      <c r="AH145" s="89"/>
    </row>
    <row r="146" spans="2:34" ht="12.75" customHeight="1">
      <c r="B146" s="89"/>
      <c r="H146" s="1034"/>
      <c r="I146" s="981"/>
      <c r="J146" s="981"/>
      <c r="K146" s="982"/>
      <c r="L146" s="67" t="str">
        <f>$E$139&amp;" to "&amp;$E$138</f>
        <v>0.6 to 0.9</v>
      </c>
      <c r="M146" s="308">
        <v>0.88494399999999995</v>
      </c>
      <c r="N146" s="80"/>
      <c r="O146" s="80"/>
      <c r="P146" s="968"/>
      <c r="Q146" s="969"/>
      <c r="R146" s="969"/>
      <c r="S146" s="969"/>
      <c r="T146" s="969"/>
      <c r="U146" s="969"/>
      <c r="V146" s="970"/>
      <c r="Y146" s="968"/>
      <c r="Z146" s="969"/>
      <c r="AA146" s="969"/>
      <c r="AB146" s="969"/>
      <c r="AC146" s="969"/>
      <c r="AD146" s="969"/>
      <c r="AE146" s="970"/>
      <c r="AH146" s="89"/>
    </row>
    <row r="147" spans="2:34" ht="12.75" customHeight="1">
      <c r="B147" s="89"/>
      <c r="N147" s="80"/>
      <c r="O147" s="80"/>
      <c r="P147" s="968"/>
      <c r="Q147" s="969"/>
      <c r="R147" s="969"/>
      <c r="S147" s="969"/>
      <c r="T147" s="969"/>
      <c r="U147" s="969"/>
      <c r="V147" s="970"/>
      <c r="Y147" s="968"/>
      <c r="Z147" s="969"/>
      <c r="AA147" s="969"/>
      <c r="AB147" s="969"/>
      <c r="AC147" s="969"/>
      <c r="AD147" s="969"/>
      <c r="AE147" s="970"/>
      <c r="AH147" s="89"/>
    </row>
    <row r="148" spans="2:34" ht="12.75" customHeight="1">
      <c r="B148" s="89"/>
      <c r="H148" s="1033" t="s">
        <v>317</v>
      </c>
      <c r="I148" s="975"/>
      <c r="J148" s="975"/>
      <c r="K148" s="976"/>
      <c r="L148"/>
      <c r="N148" s="80"/>
      <c r="O148" s="80"/>
      <c r="P148" s="968"/>
      <c r="Q148" s="969"/>
      <c r="R148" s="969"/>
      <c r="S148" s="969"/>
      <c r="T148" s="969"/>
      <c r="U148" s="969"/>
      <c r="V148" s="970"/>
      <c r="Y148" s="968"/>
      <c r="Z148" s="969"/>
      <c r="AA148" s="969"/>
      <c r="AB148" s="969"/>
      <c r="AC148" s="969"/>
      <c r="AD148" s="969"/>
      <c r="AE148" s="970"/>
      <c r="AH148" s="89"/>
    </row>
    <row r="149" spans="2:34" ht="12.75" customHeight="1">
      <c r="B149" s="89"/>
      <c r="H149" s="1034"/>
      <c r="I149" s="981"/>
      <c r="J149" s="981"/>
      <c r="K149" s="982"/>
      <c r="L149" s="67" t="str">
        <f>$E$138&amp;" to "&amp;$E$139</f>
        <v>0.9 to 0.6</v>
      </c>
      <c r="M149" s="125">
        <v>0</v>
      </c>
      <c r="N149" s="80"/>
      <c r="O149" s="80"/>
      <c r="P149" s="968"/>
      <c r="Q149" s="969"/>
      <c r="R149" s="969"/>
      <c r="S149" s="969"/>
      <c r="T149" s="969"/>
      <c r="U149" s="969"/>
      <c r="V149" s="970"/>
      <c r="Y149" s="968"/>
      <c r="Z149" s="969"/>
      <c r="AA149" s="969"/>
      <c r="AB149" s="969"/>
      <c r="AC149" s="969"/>
      <c r="AD149" s="969"/>
      <c r="AE149" s="970"/>
      <c r="AH149" s="89"/>
    </row>
    <row r="150" spans="2:34" ht="12.75" customHeight="1" thickBot="1">
      <c r="B150" s="89"/>
      <c r="N150" s="80"/>
      <c r="O150" s="80"/>
      <c r="P150" s="968"/>
      <c r="Q150" s="969"/>
      <c r="R150" s="969"/>
      <c r="S150" s="969"/>
      <c r="T150" s="969"/>
      <c r="U150" s="969"/>
      <c r="V150" s="970"/>
      <c r="Y150" s="968"/>
      <c r="Z150" s="969"/>
      <c r="AA150" s="969"/>
      <c r="AB150" s="969"/>
      <c r="AC150" s="969"/>
      <c r="AD150" s="969"/>
      <c r="AE150" s="970"/>
      <c r="AH150" s="89"/>
    </row>
    <row r="151" spans="2:34" ht="13.5" customHeight="1">
      <c r="B151" s="89"/>
      <c r="D151" s="925" t="s">
        <v>129</v>
      </c>
      <c r="E151" s="926"/>
      <c r="F151" s="926"/>
      <c r="G151" s="926"/>
      <c r="H151" s="927"/>
      <c r="J151" s="1035" t="s">
        <v>40</v>
      </c>
      <c r="K151" s="1036"/>
      <c r="L151" s="1036"/>
      <c r="M151" s="1037"/>
      <c r="N151" s="80"/>
      <c r="O151" s="80"/>
      <c r="P151" s="968"/>
      <c r="Q151" s="969"/>
      <c r="R151" s="969"/>
      <c r="S151" s="969"/>
      <c r="T151" s="969"/>
      <c r="U151" s="969"/>
      <c r="V151" s="970"/>
      <c r="Y151" s="968"/>
      <c r="Z151" s="969"/>
      <c r="AA151" s="969"/>
      <c r="AB151" s="969"/>
      <c r="AC151" s="969"/>
      <c r="AD151" s="969"/>
      <c r="AE151" s="970"/>
      <c r="AH151" s="89"/>
    </row>
    <row r="152" spans="2:34" ht="12.75" customHeight="1">
      <c r="B152" s="89"/>
      <c r="D152" s="1022" t="s">
        <v>115</v>
      </c>
      <c r="E152" s="931"/>
      <c r="F152" s="931"/>
      <c r="G152" s="872"/>
      <c r="H152" s="183">
        <f>MAX(M142,M143)</f>
        <v>9.4410000000000007</v>
      </c>
      <c r="J152" s="1022" t="s">
        <v>116</v>
      </c>
      <c r="K152" s="931"/>
      <c r="L152" s="872"/>
      <c r="M152" s="184">
        <f>(E138-E139)/(SetVID_FAST*0.001)</f>
        <v>10.000000000000002</v>
      </c>
      <c r="N152" s="146"/>
      <c r="O152" s="146"/>
      <c r="P152" s="968"/>
      <c r="Q152" s="969"/>
      <c r="R152" s="969"/>
      <c r="S152" s="969"/>
      <c r="T152" s="969"/>
      <c r="U152" s="969"/>
      <c r="V152" s="970"/>
      <c r="Y152" s="968"/>
      <c r="Z152" s="969"/>
      <c r="AA152" s="969"/>
      <c r="AB152" s="969"/>
      <c r="AC152" s="969"/>
      <c r="AD152" s="969"/>
      <c r="AE152" s="970"/>
      <c r="AH152" s="89"/>
    </row>
    <row r="153" spans="2:34" ht="12.75" customHeight="1">
      <c r="B153" s="89"/>
      <c r="D153" s="29"/>
      <c r="E153" s="17"/>
      <c r="F153" s="17"/>
      <c r="G153" s="17"/>
      <c r="H153" s="30"/>
      <c r="J153" s="29"/>
      <c r="K153" s="17"/>
      <c r="L153" s="24"/>
      <c r="M153" s="30"/>
      <c r="N153" s="146"/>
      <c r="O153" s="146"/>
      <c r="P153" s="968"/>
      <c r="Q153" s="969"/>
      <c r="R153" s="969"/>
      <c r="S153" s="969"/>
      <c r="T153" s="969"/>
      <c r="U153" s="969"/>
      <c r="V153" s="970"/>
      <c r="Y153" s="968"/>
      <c r="Z153" s="969"/>
      <c r="AA153" s="969"/>
      <c r="AB153" s="969"/>
      <c r="AC153" s="969"/>
      <c r="AD153" s="969"/>
      <c r="AE153" s="970"/>
      <c r="AH153" s="89"/>
    </row>
    <row r="154" spans="2:34" ht="12.75" customHeight="1" thickBot="1">
      <c r="B154" s="89"/>
      <c r="D154" s="1041" t="str">
        <f>"Voltage change "&amp;dVID_Settle&amp;"us after ALERT to settled"</f>
        <v>Voltage change 1us after ALERT to settled</v>
      </c>
      <c r="E154" s="1042"/>
      <c r="F154" s="1042"/>
      <c r="G154" s="949"/>
      <c r="H154" s="307">
        <f>(M139-M146)*1000</f>
        <v>14.456000000000024</v>
      </c>
      <c r="I154" s="13"/>
      <c r="J154" s="879" t="s">
        <v>194</v>
      </c>
      <c r="K154" s="880"/>
      <c r="L154" s="880"/>
      <c r="M154" s="306">
        <f>V_TOB_IMAX_in_PS0-V_TOB_Imin+Ripple_PS0</f>
        <v>30</v>
      </c>
      <c r="N154" s="23"/>
      <c r="O154" s="23"/>
      <c r="P154" s="968"/>
      <c r="Q154" s="969"/>
      <c r="R154" s="969"/>
      <c r="S154" s="969"/>
      <c r="T154" s="969"/>
      <c r="U154" s="969"/>
      <c r="V154" s="970"/>
      <c r="Y154" s="968"/>
      <c r="Z154" s="969"/>
      <c r="AA154" s="969"/>
      <c r="AB154" s="969"/>
      <c r="AC154" s="969"/>
      <c r="AD154" s="969"/>
      <c r="AE154" s="970"/>
      <c r="AH154" s="89"/>
    </row>
    <row r="155" spans="2:34" ht="13.5" customHeight="1">
      <c r="B155" s="89"/>
      <c r="D155" s="29"/>
      <c r="E155" s="17"/>
      <c r="F155" s="17"/>
      <c r="G155" s="17"/>
      <c r="H155" s="30"/>
      <c r="J155" s="29"/>
      <c r="K155" s="17"/>
      <c r="L155" s="24"/>
      <c r="M155" s="30"/>
      <c r="N155" s="23"/>
      <c r="O155" s="23"/>
      <c r="P155" s="968"/>
      <c r="Q155" s="969"/>
      <c r="R155" s="969"/>
      <c r="S155" s="969"/>
      <c r="T155" s="969"/>
      <c r="U155" s="969"/>
      <c r="V155" s="970"/>
      <c r="Y155" s="968"/>
      <c r="Z155" s="969"/>
      <c r="AA155" s="969"/>
      <c r="AB155" s="969"/>
      <c r="AC155" s="969"/>
      <c r="AD155" s="969"/>
      <c r="AE155" s="970"/>
      <c r="AH155" s="89"/>
    </row>
    <row r="156" spans="2:34" ht="13.5" thickBot="1">
      <c r="B156" s="89"/>
      <c r="D156" s="879" t="s">
        <v>318</v>
      </c>
      <c r="E156" s="880"/>
      <c r="F156" s="880"/>
      <c r="G156" s="880"/>
      <c r="H156" s="307">
        <f>M149</f>
        <v>0</v>
      </c>
      <c r="I156" s="13"/>
      <c r="J156" s="879" t="s">
        <v>319</v>
      </c>
      <c r="K156" s="880"/>
      <c r="L156" s="880"/>
      <c r="M156" s="306">
        <f>V_Undershoot</f>
        <v>0</v>
      </c>
      <c r="P156" s="971"/>
      <c r="Q156" s="972"/>
      <c r="R156" s="972"/>
      <c r="S156" s="972"/>
      <c r="T156" s="972"/>
      <c r="U156" s="972"/>
      <c r="V156" s="973"/>
      <c r="Y156" s="971"/>
      <c r="Z156" s="972"/>
      <c r="AA156" s="972"/>
      <c r="AB156" s="972"/>
      <c r="AC156" s="972"/>
      <c r="AD156" s="972"/>
      <c r="AE156" s="973"/>
      <c r="AH156" s="89"/>
    </row>
    <row r="157" spans="2:34" ht="15.75">
      <c r="B157" s="89"/>
      <c r="D157" s="24"/>
      <c r="E157" s="24"/>
      <c r="F157" s="24"/>
      <c r="G157" s="85"/>
      <c r="H157" s="87"/>
      <c r="J157" s="24"/>
      <c r="K157" s="24"/>
      <c r="L157" s="23"/>
      <c r="M157" s="23"/>
      <c r="N157" s="23"/>
      <c r="O157" s="23"/>
      <c r="P157" s="73"/>
      <c r="Q157" s="73"/>
      <c r="R157" s="73"/>
      <c r="S157" s="73"/>
      <c r="T157" s="73"/>
      <c r="U157" s="73"/>
      <c r="V157" s="73"/>
      <c r="Y157" s="73"/>
      <c r="Z157" s="73"/>
      <c r="AA157" s="73"/>
      <c r="AB157" s="73"/>
      <c r="AC157" s="73"/>
      <c r="AD157" s="73"/>
      <c r="AE157" s="73"/>
      <c r="AH157" s="89"/>
    </row>
    <row r="158" spans="2:34" ht="13.5" customHeight="1">
      <c r="B158" s="89"/>
      <c r="D158" s="884" t="s">
        <v>117</v>
      </c>
      <c r="E158" s="884"/>
      <c r="F158" s="884"/>
      <c r="G158" s="884"/>
      <c r="H158" s="884"/>
      <c r="I158" s="884"/>
      <c r="J158" s="884"/>
      <c r="K158" s="884"/>
      <c r="L158" s="153" t="s">
        <v>51</v>
      </c>
      <c r="M158" s="23"/>
      <c r="N158" s="23"/>
      <c r="O158" s="23"/>
      <c r="P158" s="73"/>
      <c r="Q158" s="73"/>
      <c r="R158" s="73"/>
      <c r="S158" s="73"/>
      <c r="T158" s="73"/>
      <c r="U158" s="73"/>
      <c r="V158" s="73"/>
      <c r="Y158" s="73"/>
      <c r="Z158" s="73"/>
      <c r="AA158" s="73"/>
      <c r="AB158" s="73"/>
      <c r="AC158" s="73"/>
      <c r="AD158" s="73"/>
      <c r="AE158" s="73"/>
      <c r="AH158" s="89"/>
    </row>
    <row r="159" spans="2:34" ht="12.75" customHeight="1">
      <c r="B159" s="89"/>
      <c r="D159" s="295" t="str">
        <f>"Is the voltage change from "&amp;dVID_Settle&amp;"us to Settled less than the TOB value?"</f>
        <v>Is the voltage change from 1us to Settled less than the TOB value?</v>
      </c>
      <c r="E159" s="296"/>
      <c r="F159" s="296"/>
      <c r="G159" s="296"/>
      <c r="H159" s="296"/>
      <c r="I159" s="296"/>
      <c r="J159" s="296"/>
      <c r="K159" s="220"/>
      <c r="L159" s="153" t="s">
        <v>51</v>
      </c>
      <c r="M159" s="23"/>
      <c r="N159" s="23"/>
      <c r="O159" s="23"/>
      <c r="P159" s="958" t="s">
        <v>76</v>
      </c>
      <c r="Q159" s="958"/>
      <c r="R159" s="958"/>
      <c r="S159" s="958"/>
      <c r="T159" s="958"/>
      <c r="U159" s="958"/>
      <c r="V159" s="958"/>
      <c r="W159" s="96"/>
      <c r="X159" s="96"/>
      <c r="Y159" s="958" t="s">
        <v>77</v>
      </c>
      <c r="Z159" s="958"/>
      <c r="AA159" s="958"/>
      <c r="AB159" s="958"/>
      <c r="AC159" s="958"/>
      <c r="AD159" s="958"/>
      <c r="AE159" s="958"/>
      <c r="AF159" s="96"/>
      <c r="AH159" s="89"/>
    </row>
    <row r="160" spans="2:34" ht="12.75" customHeight="1">
      <c r="B160" s="89"/>
      <c r="D160" s="895" t="s">
        <v>320</v>
      </c>
      <c r="E160" s="896"/>
      <c r="F160" s="896"/>
      <c r="G160" s="896"/>
      <c r="H160" s="896"/>
      <c r="I160" s="896"/>
      <c r="J160" s="896"/>
      <c r="K160" s="897"/>
      <c r="L160" s="153" t="s">
        <v>51</v>
      </c>
      <c r="M160" s="23"/>
      <c r="N160" s="23"/>
      <c r="O160" s="23"/>
      <c r="P160" s="958"/>
      <c r="Q160" s="958"/>
      <c r="R160" s="958"/>
      <c r="S160" s="958"/>
      <c r="T160" s="958"/>
      <c r="U160" s="958"/>
      <c r="V160" s="958"/>
      <c r="W160" s="96"/>
      <c r="X160" s="96"/>
      <c r="Y160" s="958"/>
      <c r="Z160" s="958"/>
      <c r="AA160" s="958"/>
      <c r="AB160" s="958"/>
      <c r="AC160" s="958"/>
      <c r="AD160" s="958"/>
      <c r="AE160" s="958"/>
      <c r="AF160" s="96"/>
      <c r="AH160" s="89"/>
    </row>
    <row r="161" spans="1:34">
      <c r="B161" s="89"/>
      <c r="L161"/>
      <c r="M161" s="23"/>
      <c r="N161" s="23"/>
      <c r="O161" s="23"/>
      <c r="P161" s="958"/>
      <c r="Q161" s="958"/>
      <c r="R161" s="958"/>
      <c r="S161" s="958"/>
      <c r="T161" s="958"/>
      <c r="U161" s="958"/>
      <c r="V161" s="958"/>
      <c r="W161" s="154" t="s">
        <v>51</v>
      </c>
      <c r="X161" s="97"/>
      <c r="Y161" s="958"/>
      <c r="Z161" s="958"/>
      <c r="AA161" s="958"/>
      <c r="AB161" s="958"/>
      <c r="AC161" s="958"/>
      <c r="AD161" s="958"/>
      <c r="AE161" s="958"/>
      <c r="AF161" s="154" t="s">
        <v>51</v>
      </c>
      <c r="AH161" s="89"/>
    </row>
    <row r="162" spans="1:34">
      <c r="B162" s="89"/>
      <c r="H162" s="13"/>
      <c r="M162" s="80"/>
      <c r="N162" s="80"/>
      <c r="O162" s="80"/>
      <c r="P162" s="66"/>
      <c r="Q162" s="66"/>
      <c r="R162" s="66"/>
      <c r="S162" s="66"/>
      <c r="T162" s="66"/>
      <c r="U162" s="66"/>
      <c r="V162" s="66"/>
      <c r="AH162" s="89"/>
    </row>
    <row r="163" spans="1:34" ht="12.75" customHeight="1">
      <c r="B163" s="89"/>
      <c r="C163" s="89"/>
      <c r="D163" s="89"/>
      <c r="E163" s="89"/>
      <c r="F163" s="89"/>
      <c r="G163" s="89"/>
      <c r="H163" s="95"/>
      <c r="I163" s="89"/>
      <c r="J163" s="89"/>
      <c r="K163" s="89"/>
      <c r="L163" s="95"/>
      <c r="M163" s="89"/>
      <c r="N163" s="89"/>
      <c r="O163" s="89"/>
      <c r="P163" s="93"/>
      <c r="Q163" s="93"/>
      <c r="R163" s="93"/>
      <c r="S163" s="93"/>
      <c r="T163" s="93"/>
      <c r="U163" s="93"/>
      <c r="V163" s="93"/>
      <c r="W163" s="89"/>
      <c r="X163" s="89"/>
      <c r="Y163" s="89"/>
      <c r="Z163" s="89"/>
      <c r="AA163" s="89"/>
      <c r="AB163" s="89"/>
      <c r="AC163" s="89"/>
      <c r="AD163" s="89"/>
      <c r="AE163" s="89"/>
      <c r="AF163" s="89"/>
      <c r="AG163" s="89"/>
      <c r="AH163" s="89"/>
    </row>
    <row r="164" spans="1:34" ht="12" customHeight="1"/>
    <row r="166" spans="1:34">
      <c r="A166" s="126" t="s">
        <v>58</v>
      </c>
      <c r="B166" s="89"/>
      <c r="C166" s="89"/>
      <c r="D166" s="90"/>
      <c r="E166" s="91"/>
      <c r="F166" s="91"/>
      <c r="G166" s="91"/>
      <c r="H166" s="92"/>
      <c r="I166" s="91"/>
      <c r="J166" s="91"/>
      <c r="K166" s="93"/>
      <c r="L166" s="145"/>
      <c r="M166" s="93"/>
      <c r="N166" s="93"/>
      <c r="O166" s="93"/>
      <c r="P166" s="89"/>
      <c r="Q166" s="89"/>
      <c r="R166" s="89"/>
      <c r="S166" s="89"/>
      <c r="T166" s="89"/>
      <c r="U166" s="89"/>
      <c r="V166" s="89"/>
      <c r="W166" s="93"/>
      <c r="X166" s="93"/>
      <c r="Y166" s="89"/>
      <c r="Z166" s="89"/>
      <c r="AA166" s="89"/>
      <c r="AB166" s="89"/>
      <c r="AC166" s="89"/>
      <c r="AD166" s="89"/>
      <c r="AE166" s="89"/>
      <c r="AF166" s="89"/>
      <c r="AG166" s="89"/>
      <c r="AH166" s="89"/>
    </row>
    <row r="167" spans="1:34" ht="13.5" thickBot="1">
      <c r="A167" s="127" t="s">
        <v>51</v>
      </c>
      <c r="B167" s="89"/>
      <c r="H167" s="13"/>
      <c r="M167" s="80"/>
      <c r="N167" s="80"/>
      <c r="O167" s="80"/>
      <c r="AH167" s="89"/>
    </row>
    <row r="168" spans="1:34" ht="32.25" customHeight="1">
      <c r="A168" s="128" t="s">
        <v>50</v>
      </c>
      <c r="B168" s="89"/>
      <c r="D168" s="955" t="s">
        <v>79</v>
      </c>
      <c r="E168" s="956"/>
      <c r="F168" s="956"/>
      <c r="G168" s="956"/>
      <c r="H168" s="956"/>
      <c r="I168" s="956"/>
      <c r="J168" s="956"/>
      <c r="K168" s="956"/>
      <c r="M168" s="80"/>
      <c r="N168" s="80"/>
      <c r="O168" s="80"/>
      <c r="P168" s="965" t="s">
        <v>74</v>
      </c>
      <c r="Q168" s="966"/>
      <c r="R168" s="966"/>
      <c r="S168" s="966"/>
      <c r="T168" s="966"/>
      <c r="U168" s="966"/>
      <c r="V168" s="967"/>
      <c r="Y168" s="965" t="s">
        <v>75</v>
      </c>
      <c r="Z168" s="966"/>
      <c r="AA168" s="966"/>
      <c r="AB168" s="966"/>
      <c r="AC168" s="966"/>
      <c r="AD168" s="966"/>
      <c r="AE168" s="967"/>
      <c r="AH168" s="89"/>
    </row>
    <row r="169" spans="1:34" ht="15.75">
      <c r="A169" s="88"/>
      <c r="B169" s="89"/>
      <c r="D169" s="225"/>
      <c r="E169" s="226"/>
      <c r="F169" s="289"/>
      <c r="G169" s="116"/>
      <c r="H169" s="116"/>
      <c r="I169" s="116"/>
      <c r="J169" s="116"/>
      <c r="K169" s="116"/>
      <c r="L169" s="67" t="s">
        <v>88</v>
      </c>
      <c r="M169" s="260" t="s">
        <v>197</v>
      </c>
      <c r="O169" s="23"/>
      <c r="P169" s="968"/>
      <c r="Q169" s="969"/>
      <c r="R169" s="969"/>
      <c r="S169" s="969"/>
      <c r="T169" s="969"/>
      <c r="U169" s="969"/>
      <c r="V169" s="970"/>
      <c r="Y169" s="968"/>
      <c r="Z169" s="969"/>
      <c r="AA169" s="969"/>
      <c r="AB169" s="969"/>
      <c r="AC169" s="969"/>
      <c r="AD169" s="969"/>
      <c r="AE169" s="970"/>
      <c r="AH169" s="89"/>
    </row>
    <row r="170" spans="1:34" ht="12.75" customHeight="1">
      <c r="B170" s="89"/>
      <c r="D170" s="227" t="s">
        <v>171</v>
      </c>
      <c r="E170" s="228">
        <f>VID_1</f>
        <v>0.9</v>
      </c>
      <c r="F170" s="289"/>
      <c r="H170" s="1033" t="str">
        <f>"Static voltage level at "&amp;E170&amp;"V"</f>
        <v>Static voltage level at 0.9V</v>
      </c>
      <c r="I170" s="975"/>
      <c r="J170" s="975"/>
      <c r="K170" s="976"/>
      <c r="L170"/>
      <c r="O170" s="123"/>
      <c r="P170" s="968"/>
      <c r="Q170" s="969"/>
      <c r="R170" s="969"/>
      <c r="S170" s="969"/>
      <c r="T170" s="969"/>
      <c r="U170" s="969"/>
      <c r="V170" s="970"/>
      <c r="Y170" s="968"/>
      <c r="Z170" s="969"/>
      <c r="AA170" s="969"/>
      <c r="AB170" s="969"/>
      <c r="AC170" s="969"/>
      <c r="AD170" s="969"/>
      <c r="AE170" s="970"/>
      <c r="AH170" s="89"/>
    </row>
    <row r="171" spans="1:34" ht="12.75" customHeight="1">
      <c r="B171" s="89"/>
      <c r="D171" s="227" t="s">
        <v>172</v>
      </c>
      <c r="E171" s="228">
        <f>VID_3</f>
        <v>0.3</v>
      </c>
      <c r="F171" s="289"/>
      <c r="H171" s="1034"/>
      <c r="I171" s="981"/>
      <c r="J171" s="981"/>
      <c r="K171" s="982"/>
      <c r="L171" s="309">
        <f>E170</f>
        <v>0.9</v>
      </c>
      <c r="M171" s="308">
        <v>0.89759999999999995</v>
      </c>
      <c r="O171" s="123"/>
      <c r="P171" s="968"/>
      <c r="Q171" s="969"/>
      <c r="R171" s="969"/>
      <c r="S171" s="969"/>
      <c r="T171" s="969"/>
      <c r="U171" s="969"/>
      <c r="V171" s="970"/>
      <c r="Y171" s="968"/>
      <c r="Z171" s="969"/>
      <c r="AA171" s="969"/>
      <c r="AB171" s="969"/>
      <c r="AC171" s="969"/>
      <c r="AD171" s="969"/>
      <c r="AE171" s="970"/>
      <c r="AH171" s="89"/>
    </row>
    <row r="172" spans="1:34" ht="12.75" customHeight="1">
      <c r="B172" s="89"/>
      <c r="D172" s="229" t="s">
        <v>173</v>
      </c>
      <c r="E172" s="230">
        <f>IccMax_PS3</f>
        <v>1</v>
      </c>
      <c r="F172" s="231"/>
      <c r="M172" s="13"/>
      <c r="O172" s="13"/>
      <c r="P172" s="968"/>
      <c r="Q172" s="969"/>
      <c r="R172" s="969"/>
      <c r="S172" s="969"/>
      <c r="T172" s="969"/>
      <c r="U172" s="969"/>
      <c r="V172" s="970"/>
      <c r="Y172" s="968"/>
      <c r="Z172" s="969"/>
      <c r="AA172" s="969"/>
      <c r="AB172" s="969"/>
      <c r="AC172" s="969"/>
      <c r="AD172" s="969"/>
      <c r="AE172" s="970"/>
      <c r="AH172" s="89"/>
    </row>
    <row r="173" spans="1:34" ht="12.75" customHeight="1">
      <c r="B173" s="89"/>
      <c r="D173" s="229" t="s">
        <v>174</v>
      </c>
      <c r="E173" s="230" t="s">
        <v>178</v>
      </c>
      <c r="F173" s="576" t="s">
        <v>452</v>
      </c>
      <c r="G173" s="577" t="s">
        <v>453</v>
      </c>
      <c r="H173" s="578"/>
      <c r="I173" s="578"/>
      <c r="J173" s="578"/>
      <c r="K173" s="579"/>
      <c r="P173" s="968"/>
      <c r="Q173" s="969"/>
      <c r="R173" s="969"/>
      <c r="S173" s="969"/>
      <c r="T173" s="969"/>
      <c r="U173" s="969"/>
      <c r="V173" s="970"/>
      <c r="Y173" s="968"/>
      <c r="Z173" s="969"/>
      <c r="AA173" s="969"/>
      <c r="AB173" s="969"/>
      <c r="AC173" s="969"/>
      <c r="AD173" s="969"/>
      <c r="AE173" s="970"/>
      <c r="AH173" s="89"/>
    </row>
    <row r="174" spans="1:34" ht="12.75" customHeight="1">
      <c r="B174" s="89"/>
      <c r="D174" s="229" t="s">
        <v>176</v>
      </c>
      <c r="E174" s="230" t="s">
        <v>175</v>
      </c>
      <c r="G174" s="114"/>
      <c r="H174" s="1033" t="s">
        <v>114</v>
      </c>
      <c r="I174" s="975"/>
      <c r="J174" s="975"/>
      <c r="K174" s="976"/>
      <c r="L174"/>
      <c r="O174" s="119"/>
      <c r="P174" s="968"/>
      <c r="Q174" s="969"/>
      <c r="R174" s="969"/>
      <c r="S174" s="969"/>
      <c r="T174" s="969"/>
      <c r="U174" s="969"/>
      <c r="V174" s="970"/>
      <c r="Y174" s="968"/>
      <c r="Z174" s="969"/>
      <c r="AA174" s="969"/>
      <c r="AB174" s="969"/>
      <c r="AC174" s="969"/>
      <c r="AD174" s="969"/>
      <c r="AE174" s="970"/>
      <c r="AH174" s="89"/>
    </row>
    <row r="175" spans="1:34" ht="12.75" customHeight="1">
      <c r="B175" s="89"/>
      <c r="D175" s="229" t="s">
        <v>195</v>
      </c>
      <c r="E175" s="290">
        <v>3</v>
      </c>
      <c r="G175" s="114"/>
      <c r="H175" s="1034"/>
      <c r="I175" s="981"/>
      <c r="J175" s="981"/>
      <c r="K175" s="982"/>
      <c r="L175" s="67" t="str">
        <f>$E$171&amp;" to "&amp;$E$170</f>
        <v>0.3 to 0.9</v>
      </c>
      <c r="M175" s="118">
        <v>18.239999999999998</v>
      </c>
      <c r="O175" s="119"/>
      <c r="P175" s="968"/>
      <c r="Q175" s="969"/>
      <c r="R175" s="969"/>
      <c r="S175" s="969"/>
      <c r="T175" s="969"/>
      <c r="U175" s="969"/>
      <c r="V175" s="970"/>
      <c r="Y175" s="968"/>
      <c r="Z175" s="969"/>
      <c r="AA175" s="969"/>
      <c r="AB175" s="969"/>
      <c r="AC175" s="969"/>
      <c r="AD175" s="969"/>
      <c r="AE175" s="970"/>
      <c r="AH175" s="89"/>
    </row>
    <row r="176" spans="1:34" ht="12.75" customHeight="1">
      <c r="B176" s="89"/>
      <c r="D176" s="229" t="s">
        <v>196</v>
      </c>
      <c r="E176" s="290">
        <v>3</v>
      </c>
      <c r="G176" s="114"/>
      <c r="M176" s="119"/>
      <c r="O176" s="119"/>
      <c r="P176" s="968"/>
      <c r="Q176" s="969"/>
      <c r="R176" s="969"/>
      <c r="S176" s="969"/>
      <c r="T176" s="969"/>
      <c r="U176" s="969"/>
      <c r="V176" s="970"/>
      <c r="Y176" s="968"/>
      <c r="Z176" s="969"/>
      <c r="AA176" s="969"/>
      <c r="AB176" s="969"/>
      <c r="AC176" s="969"/>
      <c r="AD176" s="969"/>
      <c r="AE176" s="970"/>
      <c r="AH176" s="89"/>
    </row>
    <row r="177" spans="2:34" ht="12.75" customHeight="1">
      <c r="B177" s="89"/>
      <c r="E177" s="114"/>
      <c r="F177" s="114"/>
      <c r="H177" s="1033" t="str">
        <f>"Voltage level "&amp;dVID_Settle&amp;"us after ALERT# assertion"</f>
        <v>Voltage level 1us after ALERT# assertion</v>
      </c>
      <c r="I177" s="975"/>
      <c r="J177" s="975"/>
      <c r="K177" s="976"/>
      <c r="L177"/>
      <c r="O177" s="80"/>
      <c r="P177" s="968"/>
      <c r="Q177" s="969"/>
      <c r="R177" s="969"/>
      <c r="S177" s="969"/>
      <c r="T177" s="969"/>
      <c r="U177" s="969"/>
      <c r="V177" s="970"/>
      <c r="Y177" s="968"/>
      <c r="Z177" s="969"/>
      <c r="AA177" s="969"/>
      <c r="AB177" s="969"/>
      <c r="AC177" s="969"/>
      <c r="AD177" s="969"/>
      <c r="AE177" s="970"/>
      <c r="AH177" s="89"/>
    </row>
    <row r="178" spans="2:34" ht="12.75" customHeight="1">
      <c r="B178" s="89"/>
      <c r="H178" s="1034"/>
      <c r="I178" s="981"/>
      <c r="J178" s="981"/>
      <c r="K178" s="982"/>
      <c r="L178" s="67" t="str">
        <f>$E$171&amp;" to "&amp;$E$170</f>
        <v>0.3 to 0.9</v>
      </c>
      <c r="M178" s="308">
        <v>0.88748800000000005</v>
      </c>
      <c r="N178" s="80"/>
      <c r="O178" s="80"/>
      <c r="P178" s="968"/>
      <c r="Q178" s="969"/>
      <c r="R178" s="969"/>
      <c r="S178" s="969"/>
      <c r="T178" s="969"/>
      <c r="U178" s="969"/>
      <c r="V178" s="970"/>
      <c r="Y178" s="968"/>
      <c r="Z178" s="969"/>
      <c r="AA178" s="969"/>
      <c r="AB178" s="969"/>
      <c r="AC178" s="969"/>
      <c r="AD178" s="969"/>
      <c r="AE178" s="970"/>
      <c r="AH178" s="89"/>
    </row>
    <row r="179" spans="2:34" ht="12.75" customHeight="1">
      <c r="B179" s="89"/>
      <c r="N179" s="80"/>
      <c r="O179" s="80"/>
      <c r="P179" s="968"/>
      <c r="Q179" s="969"/>
      <c r="R179" s="969"/>
      <c r="S179" s="969"/>
      <c r="T179" s="969"/>
      <c r="U179" s="969"/>
      <c r="V179" s="970"/>
      <c r="Y179" s="968"/>
      <c r="Z179" s="969"/>
      <c r="AA179" s="969"/>
      <c r="AB179" s="969"/>
      <c r="AC179" s="969"/>
      <c r="AD179" s="969"/>
      <c r="AE179" s="970"/>
      <c r="AH179" s="89"/>
    </row>
    <row r="180" spans="2:34" ht="12.75" customHeight="1">
      <c r="B180" s="89"/>
      <c r="H180" s="1033" t="s">
        <v>317</v>
      </c>
      <c r="I180" s="975"/>
      <c r="J180" s="975"/>
      <c r="K180" s="976"/>
      <c r="L180"/>
      <c r="N180" s="80"/>
      <c r="O180" s="80"/>
      <c r="P180" s="968"/>
      <c r="Q180" s="969"/>
      <c r="R180" s="969"/>
      <c r="S180" s="969"/>
      <c r="T180" s="969"/>
      <c r="U180" s="969"/>
      <c r="V180" s="970"/>
      <c r="Y180" s="968"/>
      <c r="Z180" s="969"/>
      <c r="AA180" s="969"/>
      <c r="AB180" s="969"/>
      <c r="AC180" s="969"/>
      <c r="AD180" s="969"/>
      <c r="AE180" s="970"/>
      <c r="AH180" s="89"/>
    </row>
    <row r="181" spans="2:34" ht="12.75" customHeight="1">
      <c r="B181" s="89"/>
      <c r="H181" s="1034"/>
      <c r="I181" s="981"/>
      <c r="J181" s="981"/>
      <c r="K181" s="982"/>
      <c r="L181" s="67" t="str">
        <f>$E$170&amp;" to "&amp;$E$171</f>
        <v>0.9 to 0.3</v>
      </c>
      <c r="M181" s="125">
        <v>0</v>
      </c>
      <c r="N181" s="80"/>
      <c r="O181" s="80"/>
      <c r="P181" s="968"/>
      <c r="Q181" s="969"/>
      <c r="R181" s="969"/>
      <c r="S181" s="969"/>
      <c r="T181" s="969"/>
      <c r="U181" s="969"/>
      <c r="V181" s="970"/>
      <c r="Y181" s="968"/>
      <c r="Z181" s="969"/>
      <c r="AA181" s="969"/>
      <c r="AB181" s="969"/>
      <c r="AC181" s="969"/>
      <c r="AD181" s="969"/>
      <c r="AE181" s="970"/>
      <c r="AH181" s="89"/>
    </row>
    <row r="182" spans="2:34" ht="12.75" customHeight="1" thickBot="1">
      <c r="B182" s="89"/>
      <c r="N182" s="80"/>
      <c r="O182" s="80"/>
      <c r="P182" s="968"/>
      <c r="Q182" s="969"/>
      <c r="R182" s="969"/>
      <c r="S182" s="969"/>
      <c r="T182" s="969"/>
      <c r="U182" s="969"/>
      <c r="V182" s="970"/>
      <c r="Y182" s="968"/>
      <c r="Z182" s="969"/>
      <c r="AA182" s="969"/>
      <c r="AB182" s="969"/>
      <c r="AC182" s="969"/>
      <c r="AD182" s="969"/>
      <c r="AE182" s="970"/>
      <c r="AH182" s="89"/>
    </row>
    <row r="183" spans="2:34" ht="13.5" customHeight="1">
      <c r="B183" s="89"/>
      <c r="D183" s="925" t="s">
        <v>130</v>
      </c>
      <c r="E183" s="926"/>
      <c r="F183" s="926"/>
      <c r="G183" s="926"/>
      <c r="H183" s="927"/>
      <c r="J183" s="1035" t="s">
        <v>40</v>
      </c>
      <c r="K183" s="1036"/>
      <c r="L183" s="1036"/>
      <c r="M183" s="1037"/>
      <c r="N183" s="80"/>
      <c r="O183" s="80"/>
      <c r="P183" s="968"/>
      <c r="Q183" s="969"/>
      <c r="R183" s="969"/>
      <c r="S183" s="969"/>
      <c r="T183" s="969"/>
      <c r="U183" s="969"/>
      <c r="V183" s="970"/>
      <c r="Y183" s="968"/>
      <c r="Z183" s="969"/>
      <c r="AA183" s="969"/>
      <c r="AB183" s="969"/>
      <c r="AC183" s="969"/>
      <c r="AD183" s="969"/>
      <c r="AE183" s="970"/>
      <c r="AH183" s="89"/>
    </row>
    <row r="184" spans="2:34" ht="12.75" customHeight="1">
      <c r="B184" s="89"/>
      <c r="D184" s="1022" t="s">
        <v>115</v>
      </c>
      <c r="E184" s="931"/>
      <c r="F184" s="931"/>
      <c r="G184" s="872"/>
      <c r="H184" s="183">
        <f>MAX(M174,M175)</f>
        <v>18.239999999999998</v>
      </c>
      <c r="J184" s="1022" t="s">
        <v>116</v>
      </c>
      <c r="K184" s="931"/>
      <c r="L184" s="872"/>
      <c r="M184" s="184">
        <f>(E170-E171)/(SetVID_FAST*0.001)+10</f>
        <v>30.000000000000004</v>
      </c>
      <c r="N184" s="146"/>
      <c r="O184" s="146"/>
      <c r="P184" s="968"/>
      <c r="Q184" s="969"/>
      <c r="R184" s="969"/>
      <c r="S184" s="969"/>
      <c r="T184" s="969"/>
      <c r="U184" s="969"/>
      <c r="V184" s="970"/>
      <c r="Y184" s="968"/>
      <c r="Z184" s="969"/>
      <c r="AA184" s="969"/>
      <c r="AB184" s="969"/>
      <c r="AC184" s="969"/>
      <c r="AD184" s="969"/>
      <c r="AE184" s="970"/>
      <c r="AH184" s="89"/>
    </row>
    <row r="185" spans="2:34" ht="12.75" customHeight="1">
      <c r="B185" s="89"/>
      <c r="D185" s="29"/>
      <c r="E185" s="17"/>
      <c r="F185" s="17"/>
      <c r="G185" s="17"/>
      <c r="H185" s="30"/>
      <c r="J185" s="29"/>
      <c r="K185" s="17"/>
      <c r="L185" s="24"/>
      <c r="M185" s="30"/>
      <c r="N185" s="146"/>
      <c r="O185" s="146"/>
      <c r="P185" s="968"/>
      <c r="Q185" s="969"/>
      <c r="R185" s="969"/>
      <c r="S185" s="969"/>
      <c r="T185" s="969"/>
      <c r="U185" s="969"/>
      <c r="V185" s="970"/>
      <c r="Y185" s="968"/>
      <c r="Z185" s="969"/>
      <c r="AA185" s="969"/>
      <c r="AB185" s="969"/>
      <c r="AC185" s="969"/>
      <c r="AD185" s="969"/>
      <c r="AE185" s="970"/>
      <c r="AH185" s="89"/>
    </row>
    <row r="186" spans="2:34" ht="12.75" customHeight="1" thickBot="1">
      <c r="B186" s="89"/>
      <c r="D186" s="1041" t="str">
        <f>"Voltage change "&amp;dVID_Settle&amp;"us after ALERT to settled"</f>
        <v>Voltage change 1us after ALERT to settled</v>
      </c>
      <c r="E186" s="1042"/>
      <c r="F186" s="1042"/>
      <c r="G186" s="949"/>
      <c r="H186" s="307">
        <f>(M171-M178)*1000</f>
        <v>10.111999999999899</v>
      </c>
      <c r="I186" s="13"/>
      <c r="J186" s="879" t="s">
        <v>194</v>
      </c>
      <c r="K186" s="880"/>
      <c r="L186" s="880"/>
      <c r="M186" s="306">
        <f>V_TOB_IMAX_in_PS0-V_TOB_Imin+Ripple_PS0</f>
        <v>30</v>
      </c>
      <c r="N186" s="23"/>
      <c r="O186" s="23"/>
      <c r="P186" s="968"/>
      <c r="Q186" s="969"/>
      <c r="R186" s="969"/>
      <c r="S186" s="969"/>
      <c r="T186" s="969"/>
      <c r="U186" s="969"/>
      <c r="V186" s="970"/>
      <c r="Y186" s="968"/>
      <c r="Z186" s="969"/>
      <c r="AA186" s="969"/>
      <c r="AB186" s="969"/>
      <c r="AC186" s="969"/>
      <c r="AD186" s="969"/>
      <c r="AE186" s="970"/>
      <c r="AH186" s="89"/>
    </row>
    <row r="187" spans="2:34" ht="13.5" customHeight="1">
      <c r="B187" s="89"/>
      <c r="D187" s="29"/>
      <c r="E187" s="17"/>
      <c r="F187" s="17"/>
      <c r="G187" s="17"/>
      <c r="H187" s="30"/>
      <c r="J187" s="29"/>
      <c r="K187" s="17"/>
      <c r="L187" s="24"/>
      <c r="M187" s="30"/>
      <c r="N187" s="23"/>
      <c r="O187" s="23"/>
      <c r="P187" s="968"/>
      <c r="Q187" s="969"/>
      <c r="R187" s="969"/>
      <c r="S187" s="969"/>
      <c r="T187" s="969"/>
      <c r="U187" s="969"/>
      <c r="V187" s="970"/>
      <c r="Y187" s="968"/>
      <c r="Z187" s="969"/>
      <c r="AA187" s="969"/>
      <c r="AB187" s="969"/>
      <c r="AC187" s="969"/>
      <c r="AD187" s="969"/>
      <c r="AE187" s="970"/>
      <c r="AH187" s="89"/>
    </row>
    <row r="188" spans="2:34" ht="13.5" thickBot="1">
      <c r="B188" s="89"/>
      <c r="D188" s="879" t="s">
        <v>318</v>
      </c>
      <c r="E188" s="880"/>
      <c r="F188" s="880"/>
      <c r="G188" s="880"/>
      <c r="H188" s="307">
        <f>M181</f>
        <v>0</v>
      </c>
      <c r="I188" s="13"/>
      <c r="J188" s="879" t="s">
        <v>319</v>
      </c>
      <c r="K188" s="880"/>
      <c r="L188" s="880"/>
      <c r="M188" s="306">
        <f>V_Undershoot</f>
        <v>0</v>
      </c>
      <c r="P188" s="971"/>
      <c r="Q188" s="972"/>
      <c r="R188" s="972"/>
      <c r="S188" s="972"/>
      <c r="T188" s="972"/>
      <c r="U188" s="972"/>
      <c r="V188" s="973"/>
      <c r="Y188" s="971"/>
      <c r="Z188" s="972"/>
      <c r="AA188" s="972"/>
      <c r="AB188" s="972"/>
      <c r="AC188" s="972"/>
      <c r="AD188" s="972"/>
      <c r="AE188" s="973"/>
      <c r="AH188" s="89"/>
    </row>
    <row r="189" spans="2:34" ht="15.75">
      <c r="B189" s="89"/>
      <c r="D189" s="24"/>
      <c r="E189" s="24"/>
      <c r="F189" s="24"/>
      <c r="G189" s="85"/>
      <c r="N189" s="23"/>
      <c r="O189" s="23"/>
      <c r="P189" s="73"/>
      <c r="Q189" s="73"/>
      <c r="R189" s="73"/>
      <c r="S189" s="73"/>
      <c r="T189" s="73"/>
      <c r="U189" s="73"/>
      <c r="V189" s="73"/>
      <c r="Y189" s="73"/>
      <c r="Z189" s="73"/>
      <c r="AA189" s="73"/>
      <c r="AB189" s="73"/>
      <c r="AC189" s="73"/>
      <c r="AD189" s="73"/>
      <c r="AE189" s="73"/>
      <c r="AH189" s="89"/>
    </row>
    <row r="190" spans="2:34" ht="13.5" customHeight="1">
      <c r="B190" s="89"/>
      <c r="D190" s="884" t="s">
        <v>117</v>
      </c>
      <c r="E190" s="884"/>
      <c r="F190" s="884"/>
      <c r="G190" s="884"/>
      <c r="H190" s="884"/>
      <c r="I190" s="884"/>
      <c r="J190" s="884"/>
      <c r="K190" s="884"/>
      <c r="L190" s="153" t="s">
        <v>51</v>
      </c>
      <c r="M190" s="23"/>
      <c r="N190" s="23"/>
      <c r="O190" s="23"/>
      <c r="P190" s="73"/>
      <c r="Q190" s="73"/>
      <c r="R190" s="73"/>
      <c r="S190" s="73"/>
      <c r="T190" s="73"/>
      <c r="U190" s="73"/>
      <c r="V190" s="73"/>
      <c r="Y190" s="73"/>
      <c r="Z190" s="73"/>
      <c r="AA190" s="73"/>
      <c r="AB190" s="73"/>
      <c r="AC190" s="73"/>
      <c r="AD190" s="73"/>
      <c r="AE190" s="73"/>
      <c r="AH190" s="89"/>
    </row>
    <row r="191" spans="2:34" ht="12.75" customHeight="1">
      <c r="B191" s="89"/>
      <c r="D191" s="295" t="str">
        <f>"Is the voltage change from "&amp;dVID_Settle&amp;"us to Settled less than the TOB value?"</f>
        <v>Is the voltage change from 1us to Settled less than the TOB value?</v>
      </c>
      <c r="E191" s="296"/>
      <c r="F191" s="296"/>
      <c r="G191" s="296"/>
      <c r="H191" s="296"/>
      <c r="I191" s="296"/>
      <c r="J191" s="296"/>
      <c r="K191" s="220"/>
      <c r="L191" s="153" t="s">
        <v>51</v>
      </c>
      <c r="M191" s="23"/>
      <c r="N191" s="23"/>
      <c r="O191" s="23"/>
      <c r="P191" s="958" t="s">
        <v>76</v>
      </c>
      <c r="Q191" s="958"/>
      <c r="R191" s="958"/>
      <c r="S191" s="958"/>
      <c r="T191" s="958"/>
      <c r="U191" s="958"/>
      <c r="V191" s="958"/>
      <c r="W191" s="96"/>
      <c r="X191" s="96"/>
      <c r="Y191" s="958" t="s">
        <v>77</v>
      </c>
      <c r="Z191" s="958"/>
      <c r="AA191" s="958"/>
      <c r="AB191" s="958"/>
      <c r="AC191" s="958"/>
      <c r="AD191" s="958"/>
      <c r="AE191" s="958"/>
      <c r="AF191" s="96"/>
      <c r="AH191" s="89"/>
    </row>
    <row r="192" spans="2:34" ht="12.75" customHeight="1">
      <c r="B192" s="89"/>
      <c r="D192" s="895" t="s">
        <v>320</v>
      </c>
      <c r="E192" s="896"/>
      <c r="F192" s="896"/>
      <c r="G192" s="896"/>
      <c r="H192" s="896"/>
      <c r="I192" s="896"/>
      <c r="J192" s="896"/>
      <c r="K192" s="897"/>
      <c r="L192" s="153" t="s">
        <v>51</v>
      </c>
      <c r="M192" s="23"/>
      <c r="N192" s="23"/>
      <c r="O192" s="23"/>
      <c r="P192" s="958"/>
      <c r="Q192" s="958"/>
      <c r="R192" s="958"/>
      <c r="S192" s="958"/>
      <c r="T192" s="958"/>
      <c r="U192" s="958"/>
      <c r="V192" s="958"/>
      <c r="W192" s="96"/>
      <c r="X192" s="96"/>
      <c r="Y192" s="958"/>
      <c r="Z192" s="958"/>
      <c r="AA192" s="958"/>
      <c r="AB192" s="958"/>
      <c r="AC192" s="958"/>
      <c r="AD192" s="958"/>
      <c r="AE192" s="958"/>
      <c r="AF192" s="96"/>
      <c r="AH192" s="89"/>
    </row>
    <row r="193" spans="1:34">
      <c r="B193" s="89"/>
      <c r="M193" s="23"/>
      <c r="N193" s="23"/>
      <c r="O193" s="23"/>
      <c r="P193" s="958"/>
      <c r="Q193" s="958"/>
      <c r="R193" s="958"/>
      <c r="S193" s="958"/>
      <c r="T193" s="958"/>
      <c r="U193" s="958"/>
      <c r="V193" s="958"/>
      <c r="W193" s="154" t="s">
        <v>51</v>
      </c>
      <c r="X193" s="97"/>
      <c r="Y193" s="958"/>
      <c r="Z193" s="958"/>
      <c r="AA193" s="958"/>
      <c r="AB193" s="958"/>
      <c r="AC193" s="958"/>
      <c r="AD193" s="958"/>
      <c r="AE193" s="958"/>
      <c r="AF193" s="154" t="s">
        <v>51</v>
      </c>
      <c r="AH193" s="89"/>
    </row>
    <row r="194" spans="1:34">
      <c r="B194" s="89"/>
      <c r="H194" s="13"/>
      <c r="M194" s="80"/>
      <c r="N194" s="80"/>
      <c r="O194" s="80"/>
      <c r="P194" s="66"/>
      <c r="Q194" s="66"/>
      <c r="R194" s="66"/>
      <c r="S194" s="66"/>
      <c r="T194" s="66"/>
      <c r="U194" s="66"/>
      <c r="V194" s="66"/>
      <c r="AH194" s="89"/>
    </row>
    <row r="195" spans="1:34" ht="12.75" customHeight="1">
      <c r="B195" s="89"/>
      <c r="C195" s="89"/>
      <c r="D195" s="89"/>
      <c r="E195" s="89"/>
      <c r="F195" s="89"/>
      <c r="G195" s="89"/>
      <c r="H195" s="95"/>
      <c r="I195" s="89"/>
      <c r="J195" s="89"/>
      <c r="K195" s="89"/>
      <c r="L195" s="95"/>
      <c r="M195" s="89"/>
      <c r="N195" s="89"/>
      <c r="O195" s="89"/>
      <c r="P195" s="93"/>
      <c r="Q195" s="93"/>
      <c r="R195" s="93"/>
      <c r="S195" s="93"/>
      <c r="T195" s="93"/>
      <c r="U195" s="93"/>
      <c r="V195" s="93"/>
      <c r="W195" s="89"/>
      <c r="X195" s="89"/>
      <c r="Y195" s="89"/>
      <c r="Z195" s="89"/>
      <c r="AA195" s="89"/>
      <c r="AB195" s="89"/>
      <c r="AC195" s="89"/>
      <c r="AD195" s="89"/>
      <c r="AE195" s="89"/>
      <c r="AF195" s="89"/>
      <c r="AG195" s="89"/>
      <c r="AH195" s="89"/>
    </row>
    <row r="198" spans="1:34">
      <c r="A198" s="126" t="s">
        <v>58</v>
      </c>
      <c r="B198" s="89"/>
      <c r="C198" s="89"/>
      <c r="D198" s="90"/>
      <c r="E198" s="91"/>
      <c r="F198" s="91"/>
      <c r="G198" s="91"/>
      <c r="H198" s="92"/>
      <c r="I198" s="91"/>
      <c r="J198" s="91"/>
      <c r="K198" s="93"/>
      <c r="L198" s="145"/>
      <c r="M198" s="93"/>
      <c r="N198" s="93"/>
      <c r="O198" s="93"/>
      <c r="P198" s="89"/>
      <c r="Q198" s="89"/>
      <c r="R198" s="89"/>
      <c r="S198" s="89"/>
      <c r="T198" s="89"/>
      <c r="U198" s="89"/>
      <c r="V198" s="89"/>
      <c r="W198" s="93"/>
      <c r="X198" s="89"/>
    </row>
    <row r="199" spans="1:34" ht="13.5" thickBot="1">
      <c r="A199" s="127" t="s">
        <v>51</v>
      </c>
      <c r="B199" s="89"/>
      <c r="H199" s="13"/>
      <c r="M199" s="80"/>
      <c r="N199" s="80"/>
      <c r="O199" s="80"/>
      <c r="X199" s="89"/>
    </row>
    <row r="200" spans="1:34" ht="32.25" customHeight="1">
      <c r="A200" s="128" t="s">
        <v>50</v>
      </c>
      <c r="B200" s="89"/>
      <c r="D200" s="955" t="s">
        <v>322</v>
      </c>
      <c r="E200" s="956"/>
      <c r="F200" s="956"/>
      <c r="G200" s="956"/>
      <c r="H200" s="956"/>
      <c r="I200" s="956"/>
      <c r="J200" s="956"/>
      <c r="K200" s="956"/>
      <c r="M200" s="80"/>
      <c r="N200" s="80"/>
      <c r="O200" s="80"/>
      <c r="P200" s="965" t="s">
        <v>74</v>
      </c>
      <c r="Q200" s="966"/>
      <c r="R200" s="966"/>
      <c r="S200" s="966"/>
      <c r="T200" s="966"/>
      <c r="U200" s="966"/>
      <c r="V200" s="967"/>
      <c r="X200" s="89"/>
    </row>
    <row r="201" spans="1:34" ht="15.75">
      <c r="A201" s="88"/>
      <c r="B201" s="89"/>
      <c r="D201" s="225"/>
      <c r="E201" s="226"/>
      <c r="F201" s="289"/>
      <c r="G201" s="116"/>
      <c r="O201" s="23"/>
      <c r="P201" s="968"/>
      <c r="Q201" s="969"/>
      <c r="R201" s="969"/>
      <c r="S201" s="969"/>
      <c r="T201" s="969"/>
      <c r="U201" s="969"/>
      <c r="V201" s="970"/>
      <c r="X201" s="89"/>
    </row>
    <row r="202" spans="1:34" ht="12.75" customHeight="1">
      <c r="B202" s="89"/>
      <c r="D202" s="227" t="s">
        <v>171</v>
      </c>
      <c r="E202" s="228">
        <f>VID_1</f>
        <v>0.9</v>
      </c>
      <c r="F202" s="289"/>
      <c r="G202" s="1032" t="s">
        <v>323</v>
      </c>
      <c r="H202" s="1032"/>
      <c r="I202" s="1032"/>
      <c r="J202" s="1032"/>
      <c r="K202" s="1032"/>
      <c r="L202" s="1032"/>
      <c r="O202" s="123"/>
      <c r="P202" s="968"/>
      <c r="Q202" s="969"/>
      <c r="R202" s="969"/>
      <c r="S202" s="969"/>
      <c r="T202" s="969"/>
      <c r="U202" s="969"/>
      <c r="V202" s="970"/>
      <c r="X202" s="89"/>
    </row>
    <row r="203" spans="1:34" ht="12.75" customHeight="1">
      <c r="B203" s="89"/>
      <c r="D203" s="227" t="s">
        <v>172</v>
      </c>
      <c r="E203" s="228">
        <v>0</v>
      </c>
      <c r="F203" s="289"/>
      <c r="O203" s="123"/>
      <c r="P203" s="968"/>
      <c r="Q203" s="969"/>
      <c r="R203" s="969"/>
      <c r="S203" s="969"/>
      <c r="T203" s="969"/>
      <c r="U203" s="969"/>
      <c r="V203" s="970"/>
      <c r="X203" s="89"/>
    </row>
    <row r="204" spans="1:34" ht="12.75" customHeight="1">
      <c r="B204" s="89"/>
      <c r="D204" s="229" t="s">
        <v>173</v>
      </c>
      <c r="E204" s="230">
        <v>1</v>
      </c>
      <c r="F204" s="231"/>
      <c r="M204" s="13"/>
      <c r="O204" s="13"/>
      <c r="P204" s="968"/>
      <c r="Q204" s="969"/>
      <c r="R204" s="969"/>
      <c r="S204" s="969"/>
      <c r="T204" s="969"/>
      <c r="U204" s="969"/>
      <c r="V204" s="970"/>
      <c r="X204" s="89"/>
    </row>
    <row r="205" spans="1:34" ht="12.75" customHeight="1">
      <c r="B205" s="89"/>
      <c r="D205" s="229" t="s">
        <v>174</v>
      </c>
      <c r="E205" s="230" t="s">
        <v>178</v>
      </c>
      <c r="F205" s="59"/>
      <c r="G205" s="114"/>
      <c r="H205" s="1033" t="s">
        <v>114</v>
      </c>
      <c r="I205" s="975"/>
      <c r="J205" s="975"/>
      <c r="K205" s="976"/>
      <c r="L205" s="67" t="s">
        <v>88</v>
      </c>
      <c r="M205" s="260" t="s">
        <v>197</v>
      </c>
      <c r="P205" s="968"/>
      <c r="Q205" s="969"/>
      <c r="R205" s="969"/>
      <c r="S205" s="969"/>
      <c r="T205" s="969"/>
      <c r="U205" s="969"/>
      <c r="V205" s="970"/>
      <c r="X205" s="89"/>
    </row>
    <row r="206" spans="1:34" ht="12.75" customHeight="1">
      <c r="B206" s="89"/>
      <c r="D206" s="229" t="s">
        <v>176</v>
      </c>
      <c r="E206" s="230" t="s">
        <v>175</v>
      </c>
      <c r="G206" s="114"/>
      <c r="H206" s="1034"/>
      <c r="I206" s="981"/>
      <c r="J206" s="981"/>
      <c r="K206" s="982"/>
      <c r="L206" s="67" t="str">
        <f>$E$203&amp;" to "&amp;$E$202</f>
        <v>0 to 0.9</v>
      </c>
      <c r="M206" s="118">
        <v>27.17</v>
      </c>
      <c r="O206" s="119"/>
      <c r="P206" s="968"/>
      <c r="Q206" s="969"/>
      <c r="R206" s="969"/>
      <c r="S206" s="969"/>
      <c r="T206" s="969"/>
      <c r="U206" s="969"/>
      <c r="V206" s="970"/>
      <c r="X206" s="89"/>
    </row>
    <row r="207" spans="1:34" ht="12.75" customHeight="1">
      <c r="B207" s="89"/>
      <c r="D207" s="229" t="s">
        <v>195</v>
      </c>
      <c r="E207" s="290">
        <v>0</v>
      </c>
      <c r="G207" s="114"/>
      <c r="M207" s="119"/>
      <c r="O207" s="119"/>
      <c r="P207" s="968"/>
      <c r="Q207" s="969"/>
      <c r="R207" s="969"/>
      <c r="S207" s="969"/>
      <c r="T207" s="969"/>
      <c r="U207" s="969"/>
      <c r="V207" s="970"/>
      <c r="X207" s="89"/>
    </row>
    <row r="208" spans="1:34" ht="12.75" customHeight="1">
      <c r="B208" s="89"/>
      <c r="D208" s="229" t="s">
        <v>196</v>
      </c>
      <c r="E208" s="290">
        <v>4</v>
      </c>
      <c r="H208" s="1043" t="s">
        <v>465</v>
      </c>
      <c r="I208" s="1043"/>
      <c r="J208" s="1043"/>
      <c r="K208" s="1043"/>
      <c r="L208" s="607" t="str">
        <f>$E$203&amp;" to "&amp;$E$202</f>
        <v>0 to 0.9</v>
      </c>
      <c r="M208" s="617">
        <v>20.957999999999998</v>
      </c>
      <c r="O208" s="119"/>
      <c r="P208" s="968"/>
      <c r="Q208" s="969"/>
      <c r="R208" s="969"/>
      <c r="S208" s="969"/>
      <c r="T208" s="969"/>
      <c r="U208" s="969"/>
      <c r="V208" s="970"/>
      <c r="X208" s="89"/>
    </row>
    <row r="209" spans="2:24" ht="12.75" customHeight="1">
      <c r="B209" s="89"/>
      <c r="E209" s="114"/>
      <c r="F209" s="114"/>
      <c r="L209"/>
      <c r="M209" s="69"/>
      <c r="O209" s="80"/>
      <c r="P209" s="968"/>
      <c r="Q209" s="969"/>
      <c r="R209" s="969"/>
      <c r="S209" s="969"/>
      <c r="T209" s="969"/>
      <c r="U209" s="969"/>
      <c r="V209" s="970"/>
      <c r="X209" s="89"/>
    </row>
    <row r="210" spans="2:24" ht="12.75" customHeight="1">
      <c r="B210" s="89"/>
      <c r="H210" s="1046" t="s">
        <v>466</v>
      </c>
      <c r="I210" s="1043"/>
      <c r="J210" s="1043"/>
      <c r="K210" s="1043"/>
      <c r="L210" s="607" t="str">
        <f>$E$203&amp;" to "&amp;$E$202</f>
        <v>0 to 0.9</v>
      </c>
      <c r="M210" s="617">
        <v>6.8</v>
      </c>
      <c r="N210" s="80"/>
      <c r="O210" s="80"/>
      <c r="P210" s="968"/>
      <c r="Q210" s="969"/>
      <c r="R210" s="969"/>
      <c r="S210" s="969"/>
      <c r="T210" s="969"/>
      <c r="U210" s="969"/>
      <c r="V210" s="970"/>
      <c r="X210" s="89"/>
    </row>
    <row r="211" spans="2:24" ht="12.75" customHeight="1" thickBot="1">
      <c r="B211" s="89"/>
      <c r="N211" s="80"/>
      <c r="O211" s="80"/>
      <c r="P211" s="968"/>
      <c r="Q211" s="969"/>
      <c r="R211" s="969"/>
      <c r="S211" s="969"/>
      <c r="T211" s="969"/>
      <c r="U211" s="969"/>
      <c r="V211" s="970"/>
      <c r="X211" s="89"/>
    </row>
    <row r="212" spans="2:24" ht="12.75" customHeight="1">
      <c r="B212" s="89"/>
      <c r="D212" s="925" t="s">
        <v>388</v>
      </c>
      <c r="E212" s="926"/>
      <c r="F212" s="926"/>
      <c r="G212" s="926"/>
      <c r="H212" s="927"/>
      <c r="J212" s="1035" t="s">
        <v>40</v>
      </c>
      <c r="K212" s="1036"/>
      <c r="L212" s="1036"/>
      <c r="M212" s="1037"/>
      <c r="N212" s="80"/>
      <c r="O212" s="80"/>
      <c r="P212" s="968"/>
      <c r="Q212" s="969"/>
      <c r="R212" s="969"/>
      <c r="S212" s="969"/>
      <c r="T212" s="969"/>
      <c r="U212" s="969"/>
      <c r="V212" s="970"/>
      <c r="X212" s="89"/>
    </row>
    <row r="213" spans="2:24" ht="12.75" customHeight="1">
      <c r="B213" s="89"/>
      <c r="D213" s="905" t="s">
        <v>115</v>
      </c>
      <c r="E213" s="874"/>
      <c r="F213" s="874"/>
      <c r="G213" s="874"/>
      <c r="H213" s="183">
        <f>M206</f>
        <v>27.17</v>
      </c>
      <c r="J213" s="1022" t="s">
        <v>116</v>
      </c>
      <c r="K213" s="931"/>
      <c r="L213" s="872"/>
      <c r="M213" s="618">
        <f>(E202-E203)/(SetVID_FAST*0.001)+200</f>
        <v>230</v>
      </c>
      <c r="N213" s="80"/>
      <c r="O213" s="80"/>
      <c r="P213" s="968"/>
      <c r="Q213" s="969"/>
      <c r="R213" s="969"/>
      <c r="S213" s="969"/>
      <c r="T213" s="969"/>
      <c r="U213" s="969"/>
      <c r="V213" s="970"/>
      <c r="X213" s="89"/>
    </row>
    <row r="214" spans="2:24" ht="13.5" customHeight="1">
      <c r="B214" s="89"/>
      <c r="D214" s="1047" t="s">
        <v>465</v>
      </c>
      <c r="E214" s="1048"/>
      <c r="F214" s="1048"/>
      <c r="G214" s="1048"/>
      <c r="H214" s="550">
        <f>M208</f>
        <v>20.957999999999998</v>
      </c>
      <c r="J214" s="1047" t="s">
        <v>467</v>
      </c>
      <c r="K214" s="1048"/>
      <c r="L214" s="1048"/>
      <c r="M214" s="619">
        <f>V_OVS_IccMAX_App</f>
        <v>70</v>
      </c>
      <c r="N214" s="80"/>
      <c r="O214" s="80"/>
      <c r="P214" s="968"/>
      <c r="Q214" s="969"/>
      <c r="R214" s="969"/>
      <c r="S214" s="969"/>
      <c r="T214" s="969"/>
      <c r="U214" s="969"/>
      <c r="V214" s="970"/>
      <c r="X214" s="89"/>
    </row>
    <row r="215" spans="2:24" ht="12.75" customHeight="1" thickBot="1">
      <c r="B215" s="89"/>
      <c r="D215" s="1049" t="s">
        <v>466</v>
      </c>
      <c r="E215" s="1050"/>
      <c r="F215" s="1050"/>
      <c r="G215" s="1050"/>
      <c r="H215" s="621">
        <f>M210</f>
        <v>6.8</v>
      </c>
      <c r="J215" s="1049" t="s">
        <v>468</v>
      </c>
      <c r="K215" s="1050"/>
      <c r="L215" s="1050"/>
      <c r="M215" s="620">
        <f>T_OVS_Max_IccMAX_App</f>
        <v>10</v>
      </c>
      <c r="N215" s="146"/>
      <c r="O215" s="146"/>
      <c r="P215" s="968"/>
      <c r="Q215" s="969"/>
      <c r="R215" s="969"/>
      <c r="S215" s="969"/>
      <c r="T215" s="969"/>
      <c r="U215" s="969"/>
      <c r="V215" s="970"/>
      <c r="X215" s="89"/>
    </row>
    <row r="216" spans="2:24">
      <c r="B216" s="89"/>
      <c r="D216" s="24"/>
      <c r="E216" s="24"/>
      <c r="F216" s="24"/>
      <c r="G216" s="85"/>
      <c r="N216" s="23"/>
      <c r="O216" s="23"/>
      <c r="P216" s="968"/>
      <c r="Q216" s="969"/>
      <c r="R216" s="969"/>
      <c r="S216" s="969"/>
      <c r="T216" s="969"/>
      <c r="U216" s="969"/>
      <c r="V216" s="970"/>
      <c r="X216" s="89"/>
    </row>
    <row r="217" spans="2:24" ht="13.5" customHeight="1">
      <c r="B217" s="89"/>
      <c r="D217" s="598" t="s">
        <v>117</v>
      </c>
      <c r="E217" s="599"/>
      <c r="F217" s="599"/>
      <c r="G217" s="599"/>
      <c r="H217" s="599"/>
      <c r="I217" s="599"/>
      <c r="J217" s="599"/>
      <c r="K217" s="625"/>
      <c r="L217" s="153" t="s">
        <v>51</v>
      </c>
      <c r="M217" s="23"/>
      <c r="N217" s="23"/>
      <c r="O217" s="23"/>
      <c r="P217" s="968"/>
      <c r="Q217" s="969"/>
      <c r="R217" s="969"/>
      <c r="S217" s="969"/>
      <c r="T217" s="969"/>
      <c r="U217" s="969"/>
      <c r="V217" s="970"/>
      <c r="X217" s="89"/>
    </row>
    <row r="218" spans="2:24" ht="12.75" customHeight="1">
      <c r="B218" s="89"/>
      <c r="D218" s="622" t="s">
        <v>470</v>
      </c>
      <c r="E218" s="623"/>
      <c r="F218" s="623"/>
      <c r="G218" s="623"/>
      <c r="H218" s="623"/>
      <c r="I218" s="623"/>
      <c r="J218" s="623"/>
      <c r="K218" s="624"/>
      <c r="L218" s="153" t="s">
        <v>51</v>
      </c>
      <c r="P218" s="968"/>
      <c r="Q218" s="969"/>
      <c r="R218" s="969"/>
      <c r="S218" s="969"/>
      <c r="T218" s="969"/>
      <c r="U218" s="969"/>
      <c r="V218" s="970"/>
      <c r="X218" s="89"/>
    </row>
    <row r="219" spans="2:24" ht="12.75" customHeight="1" thickBot="1">
      <c r="B219" s="89"/>
      <c r="D219" s="622" t="s">
        <v>469</v>
      </c>
      <c r="E219" s="623"/>
      <c r="F219" s="623"/>
      <c r="G219" s="623"/>
      <c r="H219" s="623"/>
      <c r="I219" s="623"/>
      <c r="J219" s="623"/>
      <c r="K219" s="624"/>
      <c r="L219" s="153" t="s">
        <v>51</v>
      </c>
      <c r="P219" s="971"/>
      <c r="Q219" s="972"/>
      <c r="R219" s="972"/>
      <c r="S219" s="972"/>
      <c r="T219" s="972"/>
      <c r="U219" s="972"/>
      <c r="V219" s="973"/>
      <c r="X219" s="89"/>
    </row>
    <row r="220" spans="2:24">
      <c r="B220" s="89"/>
      <c r="L220"/>
      <c r="X220" s="89"/>
    </row>
    <row r="221" spans="2:24">
      <c r="B221" s="89"/>
      <c r="H221" s="13"/>
      <c r="M221" s="80"/>
      <c r="N221" s="80"/>
      <c r="O221" s="80"/>
      <c r="P221" s="66"/>
      <c r="Q221" s="66"/>
      <c r="R221" s="66"/>
      <c r="S221" s="66"/>
      <c r="T221" s="66"/>
      <c r="U221" s="66"/>
      <c r="V221" s="66"/>
      <c r="X221" s="89"/>
    </row>
    <row r="222" spans="2:24" ht="12.75" customHeight="1">
      <c r="B222" s="89"/>
      <c r="C222" s="89"/>
      <c r="D222" s="89"/>
      <c r="E222" s="89"/>
      <c r="F222" s="89"/>
      <c r="G222" s="89"/>
      <c r="H222" s="95"/>
      <c r="I222" s="89"/>
      <c r="J222" s="89"/>
      <c r="K222" s="89"/>
      <c r="L222" s="95"/>
      <c r="M222" s="89"/>
      <c r="N222" s="89"/>
      <c r="O222" s="89"/>
      <c r="P222" s="93"/>
      <c r="Q222" s="93"/>
      <c r="R222" s="93"/>
      <c r="S222" s="93"/>
      <c r="T222" s="93"/>
      <c r="U222" s="93"/>
      <c r="V222" s="93"/>
      <c r="W222" s="89"/>
      <c r="X222" s="89"/>
    </row>
  </sheetData>
  <protectedRanges>
    <protectedRange sqref="F79:I79 H10:K10 H16:K16 F80:G80 H81:K81 H114:K114 H146:K146 H178:K178 H73:K73 H108:K108 H139:K139 H171:K171 H40:K40 H46:K47 G13 G43 G76 G111 G142 G174 H19:K19 H49:K49 H84:K84 H117:K117 H149:K149 H181:K181 H209:K209 G206" name="Range1_1"/>
  </protectedRanges>
  <mergeCells count="133">
    <mergeCell ref="H210:K210"/>
    <mergeCell ref="D214:G214"/>
    <mergeCell ref="D215:G215"/>
    <mergeCell ref="J214:L214"/>
    <mergeCell ref="J215:L215"/>
    <mergeCell ref="Y96:AE98"/>
    <mergeCell ref="P159:V161"/>
    <mergeCell ref="H177:K178"/>
    <mergeCell ref="Y127:AE129"/>
    <mergeCell ref="Y136:AE156"/>
    <mergeCell ref="D96:K96"/>
    <mergeCell ref="D128:K128"/>
    <mergeCell ref="D124:G124"/>
    <mergeCell ref="J124:L124"/>
    <mergeCell ref="Y159:AE161"/>
    <mergeCell ref="P136:V156"/>
    <mergeCell ref="H138:K139"/>
    <mergeCell ref="J151:M151"/>
    <mergeCell ref="H142:K143"/>
    <mergeCell ref="H145:K146"/>
    <mergeCell ref="H148:K149"/>
    <mergeCell ref="D151:H151"/>
    <mergeCell ref="Y191:AE193"/>
    <mergeCell ref="D184:G184"/>
    <mergeCell ref="Y70:AE93"/>
    <mergeCell ref="H76:K77"/>
    <mergeCell ref="H72:K73"/>
    <mergeCell ref="D87:H87"/>
    <mergeCell ref="J87:M87"/>
    <mergeCell ref="D88:G88"/>
    <mergeCell ref="D90:G90"/>
    <mergeCell ref="J90:L90"/>
    <mergeCell ref="J88:L88"/>
    <mergeCell ref="D92:G92"/>
    <mergeCell ref="H80:K81"/>
    <mergeCell ref="D70:K70"/>
    <mergeCell ref="P70:V93"/>
    <mergeCell ref="J92:L92"/>
    <mergeCell ref="H83:K84"/>
    <mergeCell ref="D168:K168"/>
    <mergeCell ref="D152:G152"/>
    <mergeCell ref="J184:L184"/>
    <mergeCell ref="D154:G154"/>
    <mergeCell ref="J154:L154"/>
    <mergeCell ref="H170:K171"/>
    <mergeCell ref="P191:V193"/>
    <mergeCell ref="D190:K190"/>
    <mergeCell ref="J186:L186"/>
    <mergeCell ref="J152:L152"/>
    <mergeCell ref="Y168:AE188"/>
    <mergeCell ref="D192:K192"/>
    <mergeCell ref="D156:G156"/>
    <mergeCell ref="J156:L156"/>
    <mergeCell ref="Y7:AE24"/>
    <mergeCell ref="H12:K13"/>
    <mergeCell ref="D24:G24"/>
    <mergeCell ref="H9:K10"/>
    <mergeCell ref="D21:H21"/>
    <mergeCell ref="H15:K16"/>
    <mergeCell ref="H18:K19"/>
    <mergeCell ref="D51:L51"/>
    <mergeCell ref="P168:V188"/>
    <mergeCell ref="J183:M183"/>
    <mergeCell ref="D158:K158"/>
    <mergeCell ref="Y27:AE29"/>
    <mergeCell ref="P27:V29"/>
    <mergeCell ref="D105:K105"/>
    <mergeCell ref="P105:V124"/>
    <mergeCell ref="H110:K111"/>
    <mergeCell ref="H107:K108"/>
    <mergeCell ref="Y105:AE124"/>
    <mergeCell ref="J122:L122"/>
    <mergeCell ref="P127:V129"/>
    <mergeCell ref="D122:G122"/>
    <mergeCell ref="J120:L120"/>
    <mergeCell ref="D126:K126"/>
    <mergeCell ref="D136:K136"/>
    <mergeCell ref="A1:V2"/>
    <mergeCell ref="J24:L24"/>
    <mergeCell ref="J21:M21"/>
    <mergeCell ref="D7:K7"/>
    <mergeCell ref="P7:V24"/>
    <mergeCell ref="D22:G22"/>
    <mergeCell ref="J22:L22"/>
    <mergeCell ref="D119:H119"/>
    <mergeCell ref="J119:M119"/>
    <mergeCell ref="P96:V98"/>
    <mergeCell ref="H113:K114"/>
    <mergeCell ref="D56:G56"/>
    <mergeCell ref="J56:L56"/>
    <mergeCell ref="D60:K60"/>
    <mergeCell ref="P61:V63"/>
    <mergeCell ref="D26:G26"/>
    <mergeCell ref="J26:L26"/>
    <mergeCell ref="D29:K29"/>
    <mergeCell ref="D30:K30"/>
    <mergeCell ref="D58:G58"/>
    <mergeCell ref="J54:L54"/>
    <mergeCell ref="D28:K28"/>
    <mergeCell ref="Y61:AE63"/>
    <mergeCell ref="D37:K37"/>
    <mergeCell ref="P37:V57"/>
    <mergeCell ref="Y37:AE57"/>
    <mergeCell ref="H42:K43"/>
    <mergeCell ref="H39:K40"/>
    <mergeCell ref="H45:K46"/>
    <mergeCell ref="D53:H53"/>
    <mergeCell ref="J53:M53"/>
    <mergeCell ref="H48:K49"/>
    <mergeCell ref="P200:V219"/>
    <mergeCell ref="G202:L202"/>
    <mergeCell ref="D213:G213"/>
    <mergeCell ref="J213:L213"/>
    <mergeCell ref="D54:G54"/>
    <mergeCell ref="D200:K200"/>
    <mergeCell ref="H205:K206"/>
    <mergeCell ref="D212:H212"/>
    <mergeCell ref="J212:M212"/>
    <mergeCell ref="D120:G120"/>
    <mergeCell ref="H116:K117"/>
    <mergeCell ref="D98:K98"/>
    <mergeCell ref="D95:K95"/>
    <mergeCell ref="D94:K94"/>
    <mergeCell ref="D97:K97"/>
    <mergeCell ref="D160:K160"/>
    <mergeCell ref="D188:G188"/>
    <mergeCell ref="J188:L188"/>
    <mergeCell ref="D183:H183"/>
    <mergeCell ref="H174:K175"/>
    <mergeCell ref="H180:K181"/>
    <mergeCell ref="D186:G186"/>
    <mergeCell ref="H208:K208"/>
    <mergeCell ref="J58:L58"/>
  </mergeCells>
  <phoneticPr fontId="8" type="noConversion"/>
  <conditionalFormatting sqref="W192:X192 AF192 W160:X160 AF160">
    <cfRule type="cellIs" dxfId="94" priority="39" stopIfTrue="1" operator="equal">
      <formula>"No"</formula>
    </cfRule>
    <cfRule type="cellIs" dxfId="93" priority="40" stopIfTrue="1" operator="equal">
      <formula>"Yes"</formula>
    </cfRule>
  </conditionalFormatting>
  <conditionalFormatting sqref="W193 AF193 L190:L191 AF161 L158:L159 W161 L126:L127 W129 AF129 L94:L95 AF98 W98 L28:L30 W29 AF29 L60:L61 W63 AF63 L97:L98">
    <cfRule type="cellIs" dxfId="92" priority="32" stopIfTrue="1" operator="equal">
      <formula>"Yes"</formula>
    </cfRule>
    <cfRule type="cellIs" dxfId="91" priority="41" stopIfTrue="1" operator="equal">
      <formula>"No"</formula>
    </cfRule>
  </conditionalFormatting>
  <conditionalFormatting sqref="E42">
    <cfRule type="containsText" dxfId="90" priority="23" stopIfTrue="1" operator="containsText" text="See Below">
      <formula>NOT(ISERROR(SEARCH("See Below",E42)))</formula>
    </cfRule>
  </conditionalFormatting>
  <conditionalFormatting sqref="L62">
    <cfRule type="cellIs" dxfId="89" priority="21" stopIfTrue="1" operator="equal">
      <formula>"Yes"</formula>
    </cfRule>
    <cfRule type="cellIs" dxfId="88" priority="22" stopIfTrue="1" operator="equal">
      <formula>"No"</formula>
    </cfRule>
  </conditionalFormatting>
  <conditionalFormatting sqref="L96">
    <cfRule type="cellIs" dxfId="87" priority="19" stopIfTrue="1" operator="equal">
      <formula>"Yes"</formula>
    </cfRule>
    <cfRule type="cellIs" dxfId="86" priority="20" stopIfTrue="1" operator="equal">
      <formula>"No"</formula>
    </cfRule>
  </conditionalFormatting>
  <conditionalFormatting sqref="L128">
    <cfRule type="cellIs" dxfId="85" priority="17" stopIfTrue="1" operator="equal">
      <formula>"Yes"</formula>
    </cfRule>
    <cfRule type="cellIs" dxfId="84" priority="18" stopIfTrue="1" operator="equal">
      <formula>"No"</formula>
    </cfRule>
  </conditionalFormatting>
  <conditionalFormatting sqref="L160">
    <cfRule type="cellIs" dxfId="83" priority="15" stopIfTrue="1" operator="equal">
      <formula>"Yes"</formula>
    </cfRule>
    <cfRule type="cellIs" dxfId="82" priority="16" stopIfTrue="1" operator="equal">
      <formula>"No"</formula>
    </cfRule>
  </conditionalFormatting>
  <conditionalFormatting sqref="L192">
    <cfRule type="cellIs" dxfId="81" priority="13" stopIfTrue="1" operator="equal">
      <formula>"Yes"</formula>
    </cfRule>
    <cfRule type="cellIs" dxfId="80" priority="14" stopIfTrue="1" operator="equal">
      <formula>"No"</formula>
    </cfRule>
  </conditionalFormatting>
  <conditionalFormatting sqref="L217:L219">
    <cfRule type="cellIs" dxfId="79" priority="9" stopIfTrue="1" operator="equal">
      <formula>"Yes"</formula>
    </cfRule>
    <cfRule type="cellIs" dxfId="78" priority="12" stopIfTrue="1" operator="equal">
      <formula>"No"</formula>
    </cfRule>
  </conditionalFormatting>
  <conditionalFormatting sqref="E41">
    <cfRule type="cellIs" dxfId="77" priority="4" stopIfTrue="1" operator="greaterThan">
      <formula>I_TDC</formula>
    </cfRule>
  </conditionalFormatting>
  <conditionalFormatting sqref="E11">
    <cfRule type="cellIs" dxfId="76" priority="2" stopIfTrue="1" operator="greaterThan">
      <formula>I_TDC</formula>
    </cfRule>
  </conditionalFormatting>
  <conditionalFormatting sqref="E140">
    <cfRule type="cellIs" dxfId="75" priority="1" stopIfTrue="1" operator="greaterThan">
      <formula>I_TDC</formula>
    </cfRule>
  </conditionalFormatting>
  <dataValidations count="1">
    <dataValidation type="list" allowBlank="1" showInputMessage="1" showErrorMessage="1" sqref="L190:L192 L60:L62 W63:X63 AF63 L158:L160 W161:X161 AF161 AF98 W98:X98 L28:L30 AF29 L94:L98 L126:L128 W129:X129 AF129 W193:X193 AF193 M51 W29:X29 L217:L219">
      <formula1>$A$5:$A$7</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9">
    <tabColor rgb="FF00B0F0"/>
  </sheetPr>
  <dimension ref="A1:W35"/>
  <sheetViews>
    <sheetView zoomScale="70" zoomScaleNormal="70" workbookViewId="0">
      <selection activeCell="O2" sqref="O2"/>
    </sheetView>
  </sheetViews>
  <sheetFormatPr defaultRowHeight="12.75"/>
  <cols>
    <col min="1" max="6" width="8.7109375" customWidth="1"/>
    <col min="7" max="8" width="9.7109375" customWidth="1"/>
    <col min="9" max="9" width="8.7109375" customWidth="1"/>
    <col min="11" max="14" width="13.7109375" customWidth="1"/>
    <col min="17" max="17" width="10.7109375" bestFit="1" customWidth="1"/>
  </cols>
  <sheetData>
    <row r="1" spans="1:23" ht="27.75" thickTop="1" thickBot="1">
      <c r="A1" s="698" t="s">
        <v>506</v>
      </c>
      <c r="K1" s="699" t="s">
        <v>498</v>
      </c>
      <c r="L1" s="700" t="s">
        <v>499</v>
      </c>
      <c r="M1" s="700" t="s">
        <v>500</v>
      </c>
      <c r="N1" s="711" t="s">
        <v>501</v>
      </c>
      <c r="O1" s="701" t="s">
        <v>502</v>
      </c>
      <c r="P1" s="701" t="s">
        <v>503</v>
      </c>
      <c r="Q1" s="702" t="s">
        <v>389</v>
      </c>
      <c r="S1" s="752" t="s">
        <v>58</v>
      </c>
      <c r="W1" t="s">
        <v>58</v>
      </c>
    </row>
    <row r="2" spans="1:23" ht="13.5" thickBot="1">
      <c r="K2" s="703"/>
      <c r="L2" s="704"/>
      <c r="M2" s="705"/>
      <c r="N2" s="706" t="e">
        <f>ROUND(ADC_Vref/((Ipsys*0.000001)*Rpsys),0)</f>
        <v>#DIV/0!</v>
      </c>
      <c r="O2" s="704"/>
      <c r="P2" s="707" t="e">
        <f>Psys_Pmax/O2</f>
        <v>#DIV/0!</v>
      </c>
      <c r="Q2" s="708" t="s">
        <v>504</v>
      </c>
      <c r="S2" s="752" t="s">
        <v>51</v>
      </c>
      <c r="W2" t="s">
        <v>51</v>
      </c>
    </row>
    <row r="3" spans="1:23" ht="13.5" thickTop="1">
      <c r="N3" s="69" t="s">
        <v>509</v>
      </c>
      <c r="R3" s="697"/>
      <c r="S3" s="753" t="s">
        <v>50</v>
      </c>
      <c r="T3" s="122"/>
      <c r="W3" s="69" t="s">
        <v>50</v>
      </c>
    </row>
    <row r="4" spans="1:23" ht="13.5" thickBot="1">
      <c r="G4" s="750" t="s">
        <v>514</v>
      </c>
      <c r="Q4" s="695"/>
    </row>
    <row r="5" spans="1:23" ht="15" customHeight="1" thickTop="1">
      <c r="A5" s="1055" t="s">
        <v>491</v>
      </c>
      <c r="B5" s="689"/>
      <c r="C5" s="1057" t="s">
        <v>490</v>
      </c>
      <c r="D5" s="1058"/>
      <c r="E5" s="1063" t="s">
        <v>505</v>
      </c>
      <c r="F5" s="1061" t="s">
        <v>390</v>
      </c>
      <c r="G5" s="1059" t="s">
        <v>389</v>
      </c>
      <c r="H5" s="1051" t="s">
        <v>507</v>
      </c>
      <c r="I5" s="1053" t="s">
        <v>508</v>
      </c>
      <c r="K5" s="598" t="s">
        <v>391</v>
      </c>
      <c r="L5" s="599"/>
      <c r="M5" s="599"/>
      <c r="N5" s="599"/>
      <c r="O5" s="599"/>
      <c r="P5" s="599"/>
      <c r="Q5" s="154" t="s">
        <v>51</v>
      </c>
      <c r="R5" s="712"/>
      <c r="S5" s="697"/>
    </row>
    <row r="6" spans="1:23" ht="13.5" thickBot="1">
      <c r="A6" s="1056"/>
      <c r="B6" s="688"/>
      <c r="C6" s="709" t="s">
        <v>492</v>
      </c>
      <c r="D6" s="710" t="s">
        <v>493</v>
      </c>
      <c r="E6" s="1064"/>
      <c r="F6" s="1062"/>
      <c r="G6" s="1060"/>
      <c r="H6" s="1052"/>
      <c r="I6" s="1054"/>
    </row>
    <row r="7" spans="1:23" ht="15.75">
      <c r="A7" s="656">
        <v>0.03</v>
      </c>
      <c r="B7" s="690">
        <f>ROUND(B19*0.03,0)</f>
        <v>8</v>
      </c>
      <c r="C7" s="659">
        <v>0.2</v>
      </c>
      <c r="D7" s="680">
        <v>-0.2</v>
      </c>
      <c r="E7" s="692">
        <f t="shared" ref="E7:E19" si="0">(F7-B7)/B7</f>
        <v>-1</v>
      </c>
      <c r="F7" s="687">
        <f t="shared" ref="F7:F19" si="1">HEX2DEC(G7)</f>
        <v>0</v>
      </c>
      <c r="G7" s="747"/>
      <c r="H7" s="685" t="e">
        <f>(ROUND((H19*A7),0))</f>
        <v>#DIV/0!</v>
      </c>
      <c r="I7" s="713" t="e">
        <f>(H7/O2)</f>
        <v>#DIV/0!</v>
      </c>
      <c r="M7" s="678"/>
    </row>
    <row r="8" spans="1:23" ht="15.75">
      <c r="A8" s="657">
        <v>0.05</v>
      </c>
      <c r="B8" s="690">
        <f>ROUND(B19*0.05,0)</f>
        <v>13</v>
      </c>
      <c r="C8" s="660">
        <v>0.15</v>
      </c>
      <c r="D8" s="681">
        <v>-0.15</v>
      </c>
      <c r="E8" s="693">
        <f t="shared" si="0"/>
        <v>-1</v>
      </c>
      <c r="F8" s="679">
        <f t="shared" si="1"/>
        <v>0</v>
      </c>
      <c r="G8" s="696"/>
      <c r="H8" s="683" t="e">
        <f>ROUND((H19*A8),0)</f>
        <v>#DIV/0!</v>
      </c>
      <c r="I8" s="714" t="e">
        <f>(H8/O2)</f>
        <v>#DIV/0!</v>
      </c>
    </row>
    <row r="9" spans="1:23" ht="15.75">
      <c r="A9" s="657">
        <v>0.08</v>
      </c>
      <c r="B9" s="690">
        <f>ROUND(B19*0.08,0)</f>
        <v>20</v>
      </c>
      <c r="C9" s="660">
        <v>0.1</v>
      </c>
      <c r="D9" s="681">
        <v>-0.1</v>
      </c>
      <c r="E9" s="693">
        <f t="shared" si="0"/>
        <v>-1</v>
      </c>
      <c r="F9" s="679">
        <f t="shared" si="1"/>
        <v>0</v>
      </c>
      <c r="G9" s="696"/>
      <c r="H9" s="683" t="e">
        <f>ROUND((H19*A9),0)</f>
        <v>#DIV/0!</v>
      </c>
      <c r="I9" s="714" t="e">
        <f>(H9/O2)</f>
        <v>#DIV/0!</v>
      </c>
    </row>
    <row r="10" spans="1:23" ht="15.75">
      <c r="A10" s="657">
        <v>0.1</v>
      </c>
      <c r="B10" s="690">
        <f>ROUND(B19*0.1,0)</f>
        <v>26</v>
      </c>
      <c r="C10" s="660">
        <v>8.5000000000000006E-2</v>
      </c>
      <c r="D10" s="681">
        <v>-8.5000000000000006E-2</v>
      </c>
      <c r="E10" s="693">
        <f t="shared" si="0"/>
        <v>-1</v>
      </c>
      <c r="F10" s="679">
        <f t="shared" si="1"/>
        <v>0</v>
      </c>
      <c r="G10" s="696"/>
      <c r="H10" s="683" t="e">
        <f>ROUND((H19*A10),0)</f>
        <v>#DIV/0!</v>
      </c>
      <c r="I10" s="714" t="e">
        <f>(H10/O2)</f>
        <v>#DIV/0!</v>
      </c>
    </row>
    <row r="11" spans="1:23" ht="15.75">
      <c r="A11" s="657">
        <v>0.2</v>
      </c>
      <c r="B11" s="690">
        <f>ROUND(B19*0.2,0)</f>
        <v>51</v>
      </c>
      <c r="C11" s="660">
        <v>7.0000000000000007E-2</v>
      </c>
      <c r="D11" s="681">
        <v>-7.0000000000000007E-2</v>
      </c>
      <c r="E11" s="693">
        <f t="shared" si="0"/>
        <v>-1</v>
      </c>
      <c r="F11" s="679">
        <f t="shared" si="1"/>
        <v>0</v>
      </c>
      <c r="G11" s="696"/>
      <c r="H11" s="683" t="e">
        <f>ROUND((H19*A11),0)</f>
        <v>#DIV/0!</v>
      </c>
      <c r="I11" s="714" t="e">
        <f>(H11/O2)</f>
        <v>#DIV/0!</v>
      </c>
    </row>
    <row r="12" spans="1:23" ht="15.75">
      <c r="A12" s="657">
        <v>0.3</v>
      </c>
      <c r="B12" s="690">
        <f>ROUND(B19*0.3,0)</f>
        <v>77</v>
      </c>
      <c r="C12" s="660">
        <v>0.06</v>
      </c>
      <c r="D12" s="681">
        <v>-0.06</v>
      </c>
      <c r="E12" s="693">
        <f t="shared" si="0"/>
        <v>-1</v>
      </c>
      <c r="F12" s="679">
        <f t="shared" si="1"/>
        <v>0</v>
      </c>
      <c r="G12" s="696"/>
      <c r="H12" s="683" t="e">
        <f>ROUND((H19*A12),0)</f>
        <v>#DIV/0!</v>
      </c>
      <c r="I12" s="714" t="e">
        <f>(H12/O2)</f>
        <v>#DIV/0!</v>
      </c>
    </row>
    <row r="13" spans="1:23" ht="15.75">
      <c r="A13" s="657">
        <v>0.4</v>
      </c>
      <c r="B13" s="690">
        <f>ROUND(B19*0.4,0)</f>
        <v>102</v>
      </c>
      <c r="C13" s="660">
        <v>5.5E-2</v>
      </c>
      <c r="D13" s="681">
        <v>-5.5E-2</v>
      </c>
      <c r="E13" s="693">
        <f t="shared" si="0"/>
        <v>-1</v>
      </c>
      <c r="F13" s="679">
        <f t="shared" si="1"/>
        <v>0</v>
      </c>
      <c r="G13" s="696"/>
      <c r="H13" s="683" t="e">
        <f>ROUND((H19*A13),0)</f>
        <v>#DIV/0!</v>
      </c>
      <c r="I13" s="714" t="e">
        <f>(H13/O2)</f>
        <v>#DIV/0!</v>
      </c>
    </row>
    <row r="14" spans="1:23" ht="15.75">
      <c r="A14" s="657">
        <v>0.5</v>
      </c>
      <c r="B14" s="690">
        <f>ROUND(B19*0.5,0)</f>
        <v>128</v>
      </c>
      <c r="C14" s="660">
        <v>5.3999999999999999E-2</v>
      </c>
      <c r="D14" s="681">
        <v>-5.3999999999999999E-2</v>
      </c>
      <c r="E14" s="693">
        <f t="shared" si="0"/>
        <v>-1</v>
      </c>
      <c r="F14" s="679">
        <f t="shared" si="1"/>
        <v>0</v>
      </c>
      <c r="G14" s="696"/>
      <c r="H14" s="683" t="e">
        <f>ROUND((H19*A14),0)</f>
        <v>#DIV/0!</v>
      </c>
      <c r="I14" s="714" t="e">
        <f>(H14/O2)</f>
        <v>#DIV/0!</v>
      </c>
    </row>
    <row r="15" spans="1:23" ht="15.75">
      <c r="A15" s="657">
        <v>0.6</v>
      </c>
      <c r="B15" s="690">
        <f>ROUND(B19*0.6,0)</f>
        <v>153</v>
      </c>
      <c r="C15" s="660">
        <v>5.2999999999999999E-2</v>
      </c>
      <c r="D15" s="681">
        <v>-5.2999999999999999E-2</v>
      </c>
      <c r="E15" s="693">
        <f t="shared" si="0"/>
        <v>-1</v>
      </c>
      <c r="F15" s="679">
        <f t="shared" si="1"/>
        <v>0</v>
      </c>
      <c r="G15" s="696"/>
      <c r="H15" s="683" t="e">
        <f>ROUND((H19*A15),0)</f>
        <v>#DIV/0!</v>
      </c>
      <c r="I15" s="714" t="e">
        <f>(H15/O2)</f>
        <v>#DIV/0!</v>
      </c>
    </row>
    <row r="16" spans="1:23" ht="15.75">
      <c r="A16" s="657">
        <v>0.7</v>
      </c>
      <c r="B16" s="690">
        <f>ROUND(B19*0.7,0)</f>
        <v>179</v>
      </c>
      <c r="C16" s="660">
        <v>5.1999999999999998E-2</v>
      </c>
      <c r="D16" s="681">
        <v>-5.1999999999999998E-2</v>
      </c>
      <c r="E16" s="693">
        <f t="shared" si="0"/>
        <v>-1</v>
      </c>
      <c r="F16" s="679">
        <f t="shared" si="1"/>
        <v>0</v>
      </c>
      <c r="G16" s="748"/>
      <c r="H16" s="683" t="e">
        <f>ROUND((H19*A16),0)</f>
        <v>#DIV/0!</v>
      </c>
      <c r="I16" s="714" t="e">
        <f>(H16/O2)</f>
        <v>#DIV/0!</v>
      </c>
    </row>
    <row r="17" spans="1:10" ht="15.75">
      <c r="A17" s="657">
        <v>0.8</v>
      </c>
      <c r="B17" s="690">
        <f>ROUND(B19*0.8,0)</f>
        <v>204</v>
      </c>
      <c r="C17" s="660">
        <v>0.05</v>
      </c>
      <c r="D17" s="681">
        <v>-0.05</v>
      </c>
      <c r="E17" s="693">
        <f t="shared" si="0"/>
        <v>-1</v>
      </c>
      <c r="F17" s="679">
        <f t="shared" si="1"/>
        <v>0</v>
      </c>
      <c r="G17" s="748"/>
      <c r="H17" s="683" t="e">
        <f>ROUND((H19*A17),0)</f>
        <v>#DIV/0!</v>
      </c>
      <c r="I17" s="714" t="e">
        <f>(H17/O2)</f>
        <v>#DIV/0!</v>
      </c>
      <c r="J17" s="677"/>
    </row>
    <row r="18" spans="1:10" ht="15.75">
      <c r="A18" s="657">
        <v>0.9</v>
      </c>
      <c r="B18" s="690">
        <f>ROUND(B19*0.9,0)</f>
        <v>230</v>
      </c>
      <c r="C18" s="660">
        <v>0.05</v>
      </c>
      <c r="D18" s="681">
        <v>-0.05</v>
      </c>
      <c r="E18" s="693">
        <f t="shared" si="0"/>
        <v>-1</v>
      </c>
      <c r="F18" s="679">
        <f t="shared" si="1"/>
        <v>0</v>
      </c>
      <c r="G18" s="748"/>
      <c r="H18" s="683" t="e">
        <f>ROUND((H19*A18),0)</f>
        <v>#DIV/0!</v>
      </c>
      <c r="I18" s="714" t="e">
        <f>(H18/O2)</f>
        <v>#DIV/0!</v>
      </c>
      <c r="J18" s="62"/>
    </row>
    <row r="19" spans="1:10" ht="16.5" thickBot="1">
      <c r="A19" s="658">
        <v>1</v>
      </c>
      <c r="B19" s="691">
        <f>HEX2DEC(Q2)</f>
        <v>255</v>
      </c>
      <c r="C19" s="661">
        <v>0.05</v>
      </c>
      <c r="D19" s="682">
        <v>-0.05</v>
      </c>
      <c r="E19" s="694">
        <f t="shared" si="0"/>
        <v>-1</v>
      </c>
      <c r="F19" s="686">
        <f t="shared" si="1"/>
        <v>0</v>
      </c>
      <c r="G19" s="749"/>
      <c r="H19" s="684" t="e">
        <f>Psys_Pmax</f>
        <v>#DIV/0!</v>
      </c>
      <c r="I19" s="715" t="e">
        <f>(H19/O2)</f>
        <v>#DIV/0!</v>
      </c>
    </row>
    <row r="20" spans="1:10" ht="13.5" thickTop="1"/>
    <row r="32" spans="1:10">
      <c r="F32" s="662"/>
      <c r="G32" s="662"/>
    </row>
    <row r="33" spans="6:7">
      <c r="F33" s="662"/>
      <c r="G33" s="662"/>
    </row>
    <row r="34" spans="6:7">
      <c r="F34" s="662"/>
      <c r="G34" s="662"/>
    </row>
    <row r="35" spans="6:7">
      <c r="F35" s="662"/>
      <c r="G35" s="662"/>
    </row>
  </sheetData>
  <mergeCells count="7">
    <mergeCell ref="H5:H6"/>
    <mergeCell ref="I5:I6"/>
    <mergeCell ref="A5:A6"/>
    <mergeCell ref="C5:D5"/>
    <mergeCell ref="G5:G6"/>
    <mergeCell ref="F5:F6"/>
    <mergeCell ref="E5:E6"/>
  </mergeCells>
  <phoneticPr fontId="86" type="noConversion"/>
  <conditionalFormatting sqref="T3">
    <cfRule type="cellIs" dxfId="74" priority="5" stopIfTrue="1" operator="equal">
      <formula>"No"</formula>
    </cfRule>
    <cfRule type="cellIs" dxfId="73" priority="6" stopIfTrue="1" operator="equal">
      <formula>"Yes"</formula>
    </cfRule>
  </conditionalFormatting>
  <conditionalFormatting sqref="Q5">
    <cfRule type="cellIs" dxfId="72" priority="1" stopIfTrue="1" operator="equal">
      <formula>"Yes"</formula>
    </cfRule>
    <cfRule type="cellIs" dxfId="71" priority="2" stopIfTrue="1" operator="equal">
      <formula>"No"</formula>
    </cfRule>
  </conditionalFormatting>
  <dataValidations count="2">
    <dataValidation type="list" allowBlank="1" showInputMessage="1" showErrorMessage="1" sqref="T3">
      <formula1>$W$1:$W$2</formula1>
    </dataValidation>
    <dataValidation type="list" allowBlank="1" showInputMessage="1" showErrorMessage="1" sqref="Q5">
      <formula1>$A$5:$A$7</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codeName="Sheet10">
    <tabColor rgb="FF00B0F0"/>
  </sheetPr>
  <dimension ref="A1:L1028"/>
  <sheetViews>
    <sheetView workbookViewId="0">
      <selection activeCell="E11" sqref="E11"/>
    </sheetView>
  </sheetViews>
  <sheetFormatPr defaultRowHeight="12.75"/>
  <cols>
    <col min="1" max="1" width="32.28515625" style="769" customWidth="1"/>
  </cols>
  <sheetData>
    <row r="1" spans="1:12">
      <c r="A1" s="431"/>
      <c r="B1" s="1066" t="s">
        <v>471</v>
      </c>
      <c r="C1" s="1067"/>
      <c r="D1" s="1067"/>
      <c r="E1" s="1067"/>
      <c r="F1" s="1067"/>
      <c r="G1" s="1067"/>
      <c r="H1" s="1067"/>
      <c r="I1" s="1067"/>
      <c r="J1" s="1067"/>
      <c r="K1" s="1067"/>
      <c r="L1" s="1067"/>
    </row>
    <row r="2" spans="1:12">
      <c r="B2" t="s">
        <v>473</v>
      </c>
    </row>
    <row r="4" spans="1:12">
      <c r="A4" s="769">
        <v>2446</v>
      </c>
    </row>
    <row r="5" spans="1:12" ht="15.75">
      <c r="C5" s="1065" t="s">
        <v>13</v>
      </c>
      <c r="D5" s="1065"/>
      <c r="E5" s="590">
        <f>VID_1</f>
        <v>0.9</v>
      </c>
    </row>
    <row r="6" spans="1:12" ht="15.75">
      <c r="A6" s="432"/>
      <c r="C6" s="1065" t="s">
        <v>460</v>
      </c>
      <c r="D6" s="1065"/>
      <c r="E6" s="591">
        <f>IccMax80p</f>
        <v>56</v>
      </c>
    </row>
    <row r="7" spans="1:12" ht="15.75">
      <c r="C7" s="1065" t="s">
        <v>461</v>
      </c>
      <c r="D7" s="1065"/>
      <c r="E7" s="591">
        <f>IccMax20p</f>
        <v>14</v>
      </c>
    </row>
    <row r="8" spans="1:12">
      <c r="A8" s="769">
        <v>13.8184</v>
      </c>
    </row>
    <row r="9" spans="1:12">
      <c r="A9" s="769">
        <v>55.727200000000003</v>
      </c>
    </row>
    <row r="12" spans="1:12">
      <c r="A12" s="769" t="s">
        <v>550</v>
      </c>
    </row>
    <row r="13" spans="1:12">
      <c r="A13" s="769" t="s">
        <v>550</v>
      </c>
    </row>
    <row r="14" spans="1:12">
      <c r="A14" s="769" t="s">
        <v>551</v>
      </c>
    </row>
    <row r="15" spans="1:12">
      <c r="A15" s="769" t="s">
        <v>551</v>
      </c>
    </row>
    <row r="16" spans="1:12">
      <c r="A16" s="769" t="s">
        <v>551</v>
      </c>
    </row>
    <row r="17" spans="1:1">
      <c r="A17" s="769" t="s">
        <v>551</v>
      </c>
    </row>
    <row r="18" spans="1:1">
      <c r="A18" s="769">
        <v>471</v>
      </c>
    </row>
    <row r="19" spans="1:1">
      <c r="A19" s="769">
        <v>471</v>
      </c>
    </row>
    <row r="20" spans="1:1">
      <c r="A20" s="769">
        <v>471</v>
      </c>
    </row>
    <row r="21" spans="1:1">
      <c r="A21" s="769">
        <v>471</v>
      </c>
    </row>
    <row r="22" spans="1:1">
      <c r="A22" s="769">
        <v>433</v>
      </c>
    </row>
    <row r="23" spans="1:1">
      <c r="A23" s="769">
        <v>433</v>
      </c>
    </row>
    <row r="24" spans="1:1">
      <c r="A24" s="769">
        <v>433</v>
      </c>
    </row>
    <row r="25" spans="1:1">
      <c r="A25" s="769">
        <v>433</v>
      </c>
    </row>
    <row r="26" spans="1:1">
      <c r="A26" s="769">
        <v>2432</v>
      </c>
    </row>
    <row r="27" spans="1:1">
      <c r="A27" s="769">
        <v>2432</v>
      </c>
    </row>
    <row r="28" spans="1:1">
      <c r="A28" s="432"/>
    </row>
    <row r="30" spans="1:1">
      <c r="A30" s="769">
        <v>13.816000000000001</v>
      </c>
    </row>
    <row r="31" spans="1:1">
      <c r="A31" s="769">
        <v>55.764699999999998</v>
      </c>
    </row>
    <row r="34" spans="1:1">
      <c r="A34" s="769">
        <v>2432</v>
      </c>
    </row>
    <row r="35" spans="1:1">
      <c r="A35" s="769">
        <v>2432</v>
      </c>
    </row>
    <row r="36" spans="1:1">
      <c r="A36" s="769">
        <v>2432</v>
      </c>
    </row>
    <row r="37" spans="1:1">
      <c r="A37" s="769">
        <v>2432</v>
      </c>
    </row>
    <row r="38" spans="1:1">
      <c r="A38" s="769">
        <v>2432</v>
      </c>
    </row>
    <row r="39" spans="1:1">
      <c r="A39" s="769" t="s">
        <v>552</v>
      </c>
    </row>
    <row r="40" spans="1:1">
      <c r="A40" s="769" t="s">
        <v>552</v>
      </c>
    </row>
    <row r="41" spans="1:1">
      <c r="A41" s="769" t="s">
        <v>552</v>
      </c>
    </row>
    <row r="42" spans="1:1">
      <c r="A42" s="769" t="s">
        <v>552</v>
      </c>
    </row>
    <row r="43" spans="1:1">
      <c r="A43" s="769" t="s">
        <v>541</v>
      </c>
    </row>
    <row r="44" spans="1:1">
      <c r="A44" s="769" t="s">
        <v>541</v>
      </c>
    </row>
    <row r="45" spans="1:1">
      <c r="A45" s="769" t="s">
        <v>541</v>
      </c>
    </row>
    <row r="46" spans="1:1">
      <c r="A46" s="769" t="s">
        <v>541</v>
      </c>
    </row>
    <row r="47" spans="1:1">
      <c r="A47" s="769" t="s">
        <v>553</v>
      </c>
    </row>
    <row r="48" spans="1:1">
      <c r="A48" s="769" t="s">
        <v>553</v>
      </c>
    </row>
    <row r="49" spans="1:1">
      <c r="A49" s="769" t="s">
        <v>553</v>
      </c>
    </row>
    <row r="51" spans="1:1">
      <c r="A51" s="432"/>
    </row>
    <row r="53" spans="1:1">
      <c r="A53" s="769">
        <v>13.817399999999999</v>
      </c>
    </row>
    <row r="54" spans="1:1">
      <c r="A54" s="769">
        <v>55.747900000000001</v>
      </c>
    </row>
    <row r="57" spans="1:1">
      <c r="A57" s="769" t="s">
        <v>553</v>
      </c>
    </row>
    <row r="58" spans="1:1">
      <c r="A58" s="769" t="s">
        <v>550</v>
      </c>
    </row>
    <row r="59" spans="1:1">
      <c r="A59" s="769" t="s">
        <v>550</v>
      </c>
    </row>
    <row r="60" spans="1:1">
      <c r="A60" s="769" t="s">
        <v>550</v>
      </c>
    </row>
    <row r="61" spans="1:1">
      <c r="A61" s="769" t="s">
        <v>550</v>
      </c>
    </row>
    <row r="62" spans="1:1">
      <c r="A62" s="769">
        <v>2486</v>
      </c>
    </row>
    <row r="63" spans="1:1">
      <c r="A63" s="769">
        <v>2486</v>
      </c>
    </row>
    <row r="64" spans="1:1">
      <c r="A64" s="769">
        <v>2486</v>
      </c>
    </row>
    <row r="65" spans="1:1">
      <c r="A65" s="769">
        <v>2486</v>
      </c>
    </row>
    <row r="66" spans="1:1">
      <c r="A66" s="769">
        <v>436</v>
      </c>
    </row>
    <row r="67" spans="1:1">
      <c r="A67" s="769">
        <v>436</v>
      </c>
    </row>
    <row r="68" spans="1:1">
      <c r="A68" s="769">
        <v>436</v>
      </c>
    </row>
    <row r="69" spans="1:1">
      <c r="A69" s="769">
        <v>2432</v>
      </c>
    </row>
    <row r="70" spans="1:1">
      <c r="A70" s="769">
        <v>2432</v>
      </c>
    </row>
    <row r="71" spans="1:1">
      <c r="A71" s="769">
        <v>2432</v>
      </c>
    </row>
    <row r="72" spans="1:1">
      <c r="A72" s="769">
        <v>2432</v>
      </c>
    </row>
    <row r="73" spans="1:1">
      <c r="A73" s="432"/>
    </row>
    <row r="75" spans="1:1">
      <c r="A75" s="769">
        <v>13.823700000000001</v>
      </c>
    </row>
    <row r="76" spans="1:1">
      <c r="A76" s="769">
        <v>55.753500000000003</v>
      </c>
    </row>
    <row r="79" spans="1:1">
      <c r="A79" s="769">
        <v>2432</v>
      </c>
    </row>
    <row r="80" spans="1:1">
      <c r="A80" s="769">
        <v>2432</v>
      </c>
    </row>
    <row r="81" spans="1:1">
      <c r="A81" s="769">
        <v>2438</v>
      </c>
    </row>
    <row r="82" spans="1:1">
      <c r="A82" s="769">
        <v>2438</v>
      </c>
    </row>
    <row r="83" spans="1:1">
      <c r="A83" s="769">
        <v>2438</v>
      </c>
    </row>
    <row r="84" spans="1:1">
      <c r="A84" s="769">
        <v>2438</v>
      </c>
    </row>
    <row r="85" spans="1:1">
      <c r="A85" s="769">
        <v>2486</v>
      </c>
    </row>
    <row r="86" spans="1:1">
      <c r="A86" s="769">
        <v>2486</v>
      </c>
    </row>
    <row r="87" spans="1:1">
      <c r="A87" s="769">
        <v>2486</v>
      </c>
    </row>
    <row r="88" spans="1:1">
      <c r="A88" s="769">
        <v>2486</v>
      </c>
    </row>
    <row r="89" spans="1:1">
      <c r="A89" s="769" t="s">
        <v>554</v>
      </c>
    </row>
    <row r="90" spans="1:1">
      <c r="A90" s="769" t="s">
        <v>554</v>
      </c>
    </row>
    <row r="91" spans="1:1">
      <c r="A91" s="769" t="s">
        <v>554</v>
      </c>
    </row>
    <row r="92" spans="1:1">
      <c r="A92" s="769" t="s">
        <v>553</v>
      </c>
    </row>
    <row r="93" spans="1:1">
      <c r="A93" s="769" t="s">
        <v>553</v>
      </c>
    </row>
    <row r="94" spans="1:1">
      <c r="A94" s="769" t="s">
        <v>553</v>
      </c>
    </row>
    <row r="96" spans="1:1">
      <c r="A96" s="432"/>
    </row>
    <row r="98" spans="1:1">
      <c r="A98" s="769">
        <v>13.8195</v>
      </c>
    </row>
    <row r="99" spans="1:1">
      <c r="A99" s="769">
        <v>55.744799999999998</v>
      </c>
    </row>
    <row r="102" spans="1:1">
      <c r="A102" s="769" t="s">
        <v>550</v>
      </c>
    </row>
    <row r="103" spans="1:1">
      <c r="A103" s="769" t="s">
        <v>550</v>
      </c>
    </row>
    <row r="104" spans="1:1">
      <c r="A104" s="769" t="s">
        <v>555</v>
      </c>
    </row>
    <row r="105" spans="1:1">
      <c r="A105" s="769" t="s">
        <v>555</v>
      </c>
    </row>
    <row r="106" spans="1:1">
      <c r="A106" s="769" t="s">
        <v>555</v>
      </c>
    </row>
    <row r="107" spans="1:1">
      <c r="A107" s="769" t="s">
        <v>555</v>
      </c>
    </row>
    <row r="108" spans="1:1">
      <c r="A108" s="769">
        <v>2475</v>
      </c>
    </row>
    <row r="109" spans="1:1">
      <c r="A109" s="769">
        <v>2475</v>
      </c>
    </row>
    <row r="110" spans="1:1">
      <c r="A110" s="769">
        <v>2475</v>
      </c>
    </row>
    <row r="111" spans="1:1">
      <c r="A111" s="769">
        <v>2475</v>
      </c>
    </row>
    <row r="112" spans="1:1">
      <c r="A112" s="769">
        <v>433</v>
      </c>
    </row>
    <row r="113" spans="1:1">
      <c r="A113" s="769">
        <v>433</v>
      </c>
    </row>
    <row r="114" spans="1:1">
      <c r="A114" s="769">
        <v>433</v>
      </c>
    </row>
    <row r="115" spans="1:1">
      <c r="A115" s="769">
        <v>433</v>
      </c>
    </row>
    <row r="116" spans="1:1">
      <c r="A116" s="769">
        <v>2432</v>
      </c>
    </row>
    <row r="117" spans="1:1">
      <c r="A117" s="769">
        <v>2432</v>
      </c>
    </row>
    <row r="118" spans="1:1">
      <c r="A118" s="432"/>
    </row>
    <row r="120" spans="1:1">
      <c r="A120" s="769">
        <v>13.827299999999999</v>
      </c>
    </row>
    <row r="121" spans="1:1">
      <c r="A121" s="769">
        <v>55.744900000000001</v>
      </c>
    </row>
    <row r="124" spans="1:1">
      <c r="A124" s="769">
        <v>2432</v>
      </c>
    </row>
    <row r="125" spans="1:1">
      <c r="A125" s="769">
        <v>2432</v>
      </c>
    </row>
    <row r="126" spans="1:1">
      <c r="A126" s="769">
        <v>2432</v>
      </c>
    </row>
    <row r="127" spans="1:1">
      <c r="A127" s="769">
        <v>2432</v>
      </c>
    </row>
    <row r="128" spans="1:1">
      <c r="A128" s="769">
        <v>2432</v>
      </c>
    </row>
    <row r="129" spans="1:1">
      <c r="A129" s="769" t="s">
        <v>552</v>
      </c>
    </row>
    <row r="130" spans="1:1">
      <c r="A130" s="769" t="s">
        <v>552</v>
      </c>
    </row>
    <row r="131" spans="1:1">
      <c r="A131" s="769" t="s">
        <v>552</v>
      </c>
    </row>
    <row r="132" spans="1:1">
      <c r="A132" s="769" t="s">
        <v>552</v>
      </c>
    </row>
    <row r="133" spans="1:1">
      <c r="A133" s="769" t="s">
        <v>541</v>
      </c>
    </row>
    <row r="134" spans="1:1">
      <c r="A134" s="769" t="s">
        <v>541</v>
      </c>
    </row>
    <row r="135" spans="1:1">
      <c r="A135" s="769" t="s">
        <v>541</v>
      </c>
    </row>
    <row r="136" spans="1:1">
      <c r="A136" s="769" t="s">
        <v>541</v>
      </c>
    </row>
    <row r="137" spans="1:1">
      <c r="A137" s="769" t="s">
        <v>550</v>
      </c>
    </row>
    <row r="138" spans="1:1">
      <c r="A138" s="769" t="s">
        <v>550</v>
      </c>
    </row>
    <row r="139" spans="1:1">
      <c r="A139" s="769" t="s">
        <v>550</v>
      </c>
    </row>
    <row r="141" spans="1:1">
      <c r="A141" s="432"/>
    </row>
    <row r="143" spans="1:1">
      <c r="A143" s="769">
        <v>13.828099999999999</v>
      </c>
    </row>
    <row r="144" spans="1:1">
      <c r="A144" s="769">
        <v>55.770800000000001</v>
      </c>
    </row>
    <row r="147" spans="1:1">
      <c r="A147" s="769" t="s">
        <v>553</v>
      </c>
    </row>
    <row r="148" spans="1:1">
      <c r="A148" s="769" t="s">
        <v>550</v>
      </c>
    </row>
    <row r="149" spans="1:1">
      <c r="A149" s="769" t="s">
        <v>550</v>
      </c>
    </row>
    <row r="150" spans="1:1">
      <c r="A150" s="769" t="s">
        <v>550</v>
      </c>
    </row>
    <row r="151" spans="1:1">
      <c r="A151" s="769" t="s">
        <v>550</v>
      </c>
    </row>
    <row r="152" spans="1:1">
      <c r="A152" s="769">
        <v>2485</v>
      </c>
    </row>
    <row r="153" spans="1:1">
      <c r="A153" s="769">
        <v>2485</v>
      </c>
    </row>
    <row r="154" spans="1:1">
      <c r="A154" s="769">
        <v>2485</v>
      </c>
    </row>
    <row r="155" spans="1:1">
      <c r="A155" s="769">
        <v>2485</v>
      </c>
    </row>
    <row r="156" spans="1:1">
      <c r="A156" s="769">
        <v>436</v>
      </c>
    </row>
    <row r="157" spans="1:1">
      <c r="A157" s="769">
        <v>436</v>
      </c>
    </row>
    <row r="158" spans="1:1">
      <c r="A158" s="769">
        <v>436</v>
      </c>
    </row>
    <row r="159" spans="1:1">
      <c r="A159" s="769">
        <v>2432</v>
      </c>
    </row>
    <row r="160" spans="1:1">
      <c r="A160" s="769">
        <v>2432</v>
      </c>
    </row>
    <row r="161" spans="1:1">
      <c r="A161" s="769">
        <v>2432</v>
      </c>
    </row>
    <row r="162" spans="1:1">
      <c r="A162" s="769">
        <v>2432</v>
      </c>
    </row>
    <row r="163" spans="1:1">
      <c r="A163" s="432"/>
    </row>
    <row r="165" spans="1:1">
      <c r="A165" s="769">
        <v>13.8187</v>
      </c>
    </row>
    <row r="166" spans="1:1">
      <c r="A166" s="769">
        <v>55.773400000000002</v>
      </c>
    </row>
    <row r="169" spans="1:1">
      <c r="A169" s="769">
        <v>2432</v>
      </c>
    </row>
    <row r="170" spans="1:1">
      <c r="A170" s="769">
        <v>2432</v>
      </c>
    </row>
    <row r="171" spans="1:1">
      <c r="A171" s="769">
        <v>2432</v>
      </c>
    </row>
    <row r="172" spans="1:1">
      <c r="A172" s="769">
        <v>2432</v>
      </c>
    </row>
    <row r="173" spans="1:1">
      <c r="A173" s="769">
        <v>2432</v>
      </c>
    </row>
    <row r="174" spans="1:1">
      <c r="A174" s="769">
        <v>2432</v>
      </c>
    </row>
    <row r="175" spans="1:1">
      <c r="A175" s="769">
        <v>2480</v>
      </c>
    </row>
    <row r="176" spans="1:1">
      <c r="A176" s="769">
        <v>2480</v>
      </c>
    </row>
    <row r="177" spans="1:5">
      <c r="A177" s="769">
        <v>2480</v>
      </c>
    </row>
    <row r="178" spans="1:5">
      <c r="A178" s="769" t="s">
        <v>554</v>
      </c>
    </row>
    <row r="179" spans="1:5">
      <c r="A179" s="769" t="s">
        <v>554</v>
      </c>
    </row>
    <row r="180" spans="1:5">
      <c r="A180" s="769" t="s">
        <v>554</v>
      </c>
    </row>
    <row r="181" spans="1:5">
      <c r="A181" s="769" t="s">
        <v>554</v>
      </c>
    </row>
    <row r="182" spans="1:5">
      <c r="A182" s="769" t="s">
        <v>553</v>
      </c>
    </row>
    <row r="183" spans="1:5">
      <c r="A183" s="769" t="s">
        <v>553</v>
      </c>
      <c r="E183" s="583"/>
    </row>
    <row r="184" spans="1:5">
      <c r="A184" s="769" t="s">
        <v>553</v>
      </c>
    </row>
    <row r="186" spans="1:5">
      <c r="A186" s="432"/>
    </row>
    <row r="188" spans="1:5">
      <c r="A188" s="769">
        <v>13.825100000000001</v>
      </c>
    </row>
    <row r="189" spans="1:5">
      <c r="A189" s="769">
        <v>55.770899999999997</v>
      </c>
    </row>
    <row r="192" spans="1:5">
      <c r="A192" s="769" t="s">
        <v>550</v>
      </c>
    </row>
    <row r="193" spans="1:1">
      <c r="A193" s="769" t="s">
        <v>550</v>
      </c>
    </row>
    <row r="194" spans="1:1">
      <c r="A194" s="769" t="s">
        <v>550</v>
      </c>
    </row>
    <row r="195" spans="1:1">
      <c r="A195" s="769" t="s">
        <v>550</v>
      </c>
    </row>
    <row r="196" spans="1:1">
      <c r="A196" s="769" t="s">
        <v>550</v>
      </c>
    </row>
    <row r="197" spans="1:1">
      <c r="A197" s="769">
        <v>484</v>
      </c>
    </row>
    <row r="198" spans="1:1">
      <c r="A198" s="769">
        <v>484</v>
      </c>
    </row>
    <row r="199" spans="1:1">
      <c r="A199" s="769">
        <v>484</v>
      </c>
    </row>
    <row r="200" spans="1:1">
      <c r="A200" s="769">
        <v>484</v>
      </c>
    </row>
    <row r="201" spans="1:1">
      <c r="A201" s="769">
        <v>435</v>
      </c>
    </row>
    <row r="202" spans="1:1">
      <c r="A202" s="769">
        <v>435</v>
      </c>
    </row>
    <row r="203" spans="1:1">
      <c r="A203" s="769">
        <v>435</v>
      </c>
    </row>
    <row r="204" spans="1:1">
      <c r="A204" s="769">
        <v>435</v>
      </c>
    </row>
    <row r="205" spans="1:1">
      <c r="A205" s="769">
        <v>2432</v>
      </c>
    </row>
    <row r="206" spans="1:1">
      <c r="A206" s="769">
        <v>2432</v>
      </c>
    </row>
    <row r="207" spans="1:1">
      <c r="A207" s="769">
        <v>2432</v>
      </c>
    </row>
    <row r="208" spans="1:1">
      <c r="A208" s="432"/>
    </row>
    <row r="210" spans="1:1">
      <c r="A210" s="769">
        <v>13.8057</v>
      </c>
    </row>
    <row r="211" spans="1:1">
      <c r="A211" s="769">
        <v>55.769100000000002</v>
      </c>
    </row>
    <row r="214" spans="1:1">
      <c r="A214" s="769">
        <v>2432</v>
      </c>
    </row>
    <row r="215" spans="1:1">
      <c r="A215" s="769">
        <v>2432</v>
      </c>
    </row>
    <row r="216" spans="1:1">
      <c r="A216" s="769">
        <v>2432</v>
      </c>
    </row>
    <row r="217" spans="1:1">
      <c r="A217" s="769">
        <v>2432</v>
      </c>
    </row>
    <row r="218" spans="1:1">
      <c r="A218" s="769">
        <v>2432</v>
      </c>
    </row>
    <row r="219" spans="1:1">
      <c r="A219" s="769" t="s">
        <v>552</v>
      </c>
    </row>
    <row r="220" spans="1:1">
      <c r="A220" s="769" t="s">
        <v>552</v>
      </c>
    </row>
    <row r="221" spans="1:1">
      <c r="A221" s="769" t="s">
        <v>552</v>
      </c>
    </row>
    <row r="222" spans="1:1">
      <c r="A222" s="769" t="s">
        <v>552</v>
      </c>
    </row>
    <row r="223" spans="1:1">
      <c r="A223" s="769" t="s">
        <v>541</v>
      </c>
    </row>
    <row r="224" spans="1:1">
      <c r="A224" s="769" t="s">
        <v>541</v>
      </c>
    </row>
    <row r="225" spans="1:1">
      <c r="A225" s="769" t="s">
        <v>541</v>
      </c>
    </row>
    <row r="226" spans="1:1">
      <c r="A226" s="769" t="s">
        <v>541</v>
      </c>
    </row>
    <row r="227" spans="1:1">
      <c r="A227" s="769" t="s">
        <v>550</v>
      </c>
    </row>
    <row r="228" spans="1:1">
      <c r="A228" s="769" t="s">
        <v>550</v>
      </c>
    </row>
    <row r="229" spans="1:1">
      <c r="A229" s="769" t="s">
        <v>550</v>
      </c>
    </row>
    <row r="231" spans="1:1">
      <c r="A231" s="432"/>
    </row>
    <row r="233" spans="1:1">
      <c r="A233" s="769">
        <v>13.826000000000001</v>
      </c>
    </row>
    <row r="234" spans="1:1">
      <c r="A234" s="769">
        <v>55.751300000000001</v>
      </c>
    </row>
    <row r="237" spans="1:1">
      <c r="A237" s="769" t="s">
        <v>550</v>
      </c>
    </row>
    <row r="238" spans="1:1">
      <c r="A238" s="769" t="s">
        <v>550</v>
      </c>
    </row>
    <row r="239" spans="1:1">
      <c r="A239" s="769" t="s">
        <v>550</v>
      </c>
    </row>
    <row r="240" spans="1:1">
      <c r="A240" s="769" t="s">
        <v>550</v>
      </c>
    </row>
    <row r="241" spans="1:1">
      <c r="A241" s="769" t="s">
        <v>550</v>
      </c>
    </row>
    <row r="242" spans="1:1">
      <c r="A242" s="769">
        <v>2485</v>
      </c>
    </row>
    <row r="243" spans="1:1">
      <c r="A243" s="769">
        <v>2485</v>
      </c>
    </row>
    <row r="244" spans="1:1">
      <c r="A244" s="769">
        <v>2485</v>
      </c>
    </row>
    <row r="245" spans="1:1">
      <c r="A245" s="769">
        <v>2485</v>
      </c>
    </row>
    <row r="246" spans="1:1">
      <c r="A246" s="769">
        <v>436</v>
      </c>
    </row>
    <row r="247" spans="1:1">
      <c r="A247" s="769">
        <v>436</v>
      </c>
    </row>
    <row r="248" spans="1:1">
      <c r="A248" s="769">
        <v>436</v>
      </c>
    </row>
    <row r="249" spans="1:1">
      <c r="A249" s="769">
        <v>2432</v>
      </c>
    </row>
    <row r="250" spans="1:1">
      <c r="A250" s="769">
        <v>2432</v>
      </c>
    </row>
    <row r="251" spans="1:1">
      <c r="A251" s="769">
        <v>2432</v>
      </c>
    </row>
    <row r="252" spans="1:1">
      <c r="A252" s="769">
        <v>2432</v>
      </c>
    </row>
    <row r="253" spans="1:1">
      <c r="A253" s="432"/>
    </row>
    <row r="255" spans="1:1">
      <c r="A255" s="769">
        <v>13.8261</v>
      </c>
    </row>
    <row r="256" spans="1:1">
      <c r="A256" s="769">
        <v>55.761400000000002</v>
      </c>
    </row>
    <row r="259" spans="1:1">
      <c r="A259" s="769">
        <v>2432</v>
      </c>
    </row>
    <row r="260" spans="1:1">
      <c r="A260" s="769">
        <v>2432</v>
      </c>
    </row>
    <row r="261" spans="1:1">
      <c r="A261" s="769">
        <v>2440</v>
      </c>
    </row>
    <row r="262" spans="1:1">
      <c r="A262" s="769">
        <v>2440</v>
      </c>
    </row>
    <row r="263" spans="1:1">
      <c r="A263" s="769">
        <v>2440</v>
      </c>
    </row>
    <row r="264" spans="1:1">
      <c r="A264" s="769">
        <v>2440</v>
      </c>
    </row>
    <row r="265" spans="1:1">
      <c r="A265" s="769" t="s">
        <v>556</v>
      </c>
    </row>
    <row r="266" spans="1:1">
      <c r="A266" s="769" t="s">
        <v>556</v>
      </c>
    </row>
    <row r="267" spans="1:1">
      <c r="A267" s="769" t="s">
        <v>556</v>
      </c>
    </row>
    <row r="268" spans="1:1">
      <c r="A268" s="769" t="s">
        <v>556</v>
      </c>
    </row>
    <row r="269" spans="1:1">
      <c r="A269" s="769" t="s">
        <v>554</v>
      </c>
    </row>
    <row r="270" spans="1:1">
      <c r="A270" s="769" t="s">
        <v>554</v>
      </c>
    </row>
    <row r="271" spans="1:1">
      <c r="A271" s="769" t="s">
        <v>554</v>
      </c>
    </row>
    <row r="272" spans="1:1">
      <c r="A272" s="769" t="s">
        <v>550</v>
      </c>
    </row>
    <row r="273" spans="1:1">
      <c r="A273" s="769" t="s">
        <v>550</v>
      </c>
    </row>
    <row r="274" spans="1:1">
      <c r="A274" s="769" t="s">
        <v>550</v>
      </c>
    </row>
    <row r="276" spans="1:1">
      <c r="A276" s="432"/>
    </row>
    <row r="278" spans="1:1">
      <c r="A278" s="769">
        <v>13.829499999999999</v>
      </c>
    </row>
    <row r="279" spans="1:1">
      <c r="A279" s="769">
        <v>55.756700000000002</v>
      </c>
    </row>
    <row r="282" spans="1:1">
      <c r="A282" s="769" t="s">
        <v>553</v>
      </c>
    </row>
    <row r="283" spans="1:1">
      <c r="A283" s="769" t="s">
        <v>550</v>
      </c>
    </row>
    <row r="284" spans="1:1">
      <c r="A284" s="769" t="s">
        <v>550</v>
      </c>
    </row>
    <row r="285" spans="1:1">
      <c r="A285" s="769" t="s">
        <v>550</v>
      </c>
    </row>
    <row r="286" spans="1:1">
      <c r="A286" s="769" t="s">
        <v>550</v>
      </c>
    </row>
    <row r="287" spans="1:1">
      <c r="A287" s="769">
        <v>484</v>
      </c>
    </row>
    <row r="288" spans="1:1">
      <c r="A288" s="769">
        <v>484</v>
      </c>
    </row>
    <row r="289" spans="1:1">
      <c r="A289" s="769">
        <v>484</v>
      </c>
    </row>
    <row r="290" spans="1:1">
      <c r="A290" s="769">
        <v>484</v>
      </c>
    </row>
    <row r="291" spans="1:1">
      <c r="A291" s="769">
        <v>2434</v>
      </c>
    </row>
    <row r="292" spans="1:1">
      <c r="A292" s="769">
        <v>2434</v>
      </c>
    </row>
    <row r="293" spans="1:1">
      <c r="A293" s="769">
        <v>2434</v>
      </c>
    </row>
    <row r="294" spans="1:1">
      <c r="A294" s="769">
        <v>2434</v>
      </c>
    </row>
    <row r="295" spans="1:1">
      <c r="A295" s="769">
        <v>2432</v>
      </c>
    </row>
    <row r="296" spans="1:1">
      <c r="A296" s="769">
        <v>2432</v>
      </c>
    </row>
    <row r="297" spans="1:1">
      <c r="A297" s="769">
        <v>2432</v>
      </c>
    </row>
    <row r="298" spans="1:1">
      <c r="A298" s="432"/>
    </row>
    <row r="300" spans="1:1">
      <c r="A300" s="769">
        <v>13.8172</v>
      </c>
    </row>
    <row r="301" spans="1:1">
      <c r="A301" s="769">
        <v>55.7746</v>
      </c>
    </row>
    <row r="304" spans="1:1">
      <c r="A304" s="769">
        <v>2432</v>
      </c>
    </row>
    <row r="305" spans="1:1">
      <c r="A305" s="769">
        <v>2432</v>
      </c>
    </row>
    <row r="306" spans="1:1">
      <c r="A306" s="769">
        <v>2432</v>
      </c>
    </row>
    <row r="307" spans="1:1">
      <c r="A307" s="769">
        <v>2432</v>
      </c>
    </row>
    <row r="308" spans="1:1">
      <c r="A308" s="769">
        <v>2432</v>
      </c>
    </row>
    <row r="309" spans="1:1">
      <c r="A309" s="769" t="s">
        <v>543</v>
      </c>
    </row>
    <row r="310" spans="1:1">
      <c r="A310" s="769" t="s">
        <v>543</v>
      </c>
    </row>
    <row r="311" spans="1:1">
      <c r="A311" s="769" t="s">
        <v>543</v>
      </c>
    </row>
    <row r="312" spans="1:1">
      <c r="A312" s="769" t="s">
        <v>543</v>
      </c>
    </row>
    <row r="313" spans="1:1">
      <c r="A313" s="769" t="s">
        <v>542</v>
      </c>
    </row>
    <row r="314" spans="1:1">
      <c r="A314" s="769" t="s">
        <v>542</v>
      </c>
    </row>
    <row r="315" spans="1:1">
      <c r="A315" s="769" t="s">
        <v>542</v>
      </c>
    </row>
    <row r="316" spans="1:1">
      <c r="A316" s="769" t="s">
        <v>542</v>
      </c>
    </row>
    <row r="317" spans="1:1">
      <c r="A317" s="769" t="s">
        <v>553</v>
      </c>
    </row>
    <row r="318" spans="1:1">
      <c r="A318" s="769" t="s">
        <v>553</v>
      </c>
    </row>
    <row r="319" spans="1:1">
      <c r="A319" s="769" t="s">
        <v>553</v>
      </c>
    </row>
    <row r="321" spans="1:1">
      <c r="A321" s="432"/>
    </row>
    <row r="323" spans="1:1">
      <c r="A323" s="769">
        <v>13.8253</v>
      </c>
    </row>
    <row r="324" spans="1:1">
      <c r="A324" s="769">
        <v>55.7547</v>
      </c>
    </row>
    <row r="327" spans="1:1">
      <c r="A327" s="769" t="s">
        <v>550</v>
      </c>
    </row>
    <row r="328" spans="1:1">
      <c r="A328" s="769" t="s">
        <v>550</v>
      </c>
    </row>
    <row r="329" spans="1:1">
      <c r="A329" s="769" t="s">
        <v>550</v>
      </c>
    </row>
    <row r="330" spans="1:1">
      <c r="A330" s="769" t="s">
        <v>550</v>
      </c>
    </row>
    <row r="331" spans="1:1">
      <c r="A331" s="769" t="s">
        <v>550</v>
      </c>
    </row>
    <row r="332" spans="1:1">
      <c r="A332" s="769">
        <v>484</v>
      </c>
    </row>
    <row r="333" spans="1:1">
      <c r="A333" s="769">
        <v>484</v>
      </c>
    </row>
    <row r="334" spans="1:1">
      <c r="A334" s="769">
        <v>484</v>
      </c>
    </row>
    <row r="335" spans="1:1">
      <c r="A335" s="769">
        <v>484</v>
      </c>
    </row>
    <row r="336" spans="1:1">
      <c r="A336" s="769">
        <v>435</v>
      </c>
    </row>
    <row r="337" spans="1:1">
      <c r="A337" s="769">
        <v>435</v>
      </c>
    </row>
    <row r="338" spans="1:1">
      <c r="A338" s="769">
        <v>435</v>
      </c>
    </row>
    <row r="339" spans="1:1">
      <c r="A339" s="769">
        <v>435</v>
      </c>
    </row>
    <row r="340" spans="1:1">
      <c r="A340" s="769">
        <v>2432</v>
      </c>
    </row>
    <row r="341" spans="1:1">
      <c r="A341" s="769">
        <v>2432</v>
      </c>
    </row>
    <row r="342" spans="1:1">
      <c r="A342" s="769">
        <v>2432</v>
      </c>
    </row>
    <row r="343" spans="1:1">
      <c r="A343" s="432"/>
    </row>
    <row r="345" spans="1:1">
      <c r="A345" s="769">
        <v>13.813000000000001</v>
      </c>
    </row>
    <row r="346" spans="1:1">
      <c r="A346" s="769">
        <v>55.766300000000001</v>
      </c>
    </row>
    <row r="349" spans="1:1">
      <c r="A349" s="769">
        <v>2432</v>
      </c>
    </row>
    <row r="350" spans="1:1">
      <c r="A350" s="769">
        <v>2432</v>
      </c>
    </row>
    <row r="351" spans="1:1">
      <c r="A351" s="769">
        <v>2432</v>
      </c>
    </row>
    <row r="352" spans="1:1">
      <c r="A352" s="769">
        <v>2432</v>
      </c>
    </row>
    <row r="353" spans="1:1">
      <c r="A353" s="769">
        <v>2432</v>
      </c>
    </row>
    <row r="354" spans="1:1">
      <c r="A354" s="769" t="s">
        <v>543</v>
      </c>
    </row>
    <row r="355" spans="1:1">
      <c r="A355" s="769" t="s">
        <v>543</v>
      </c>
    </row>
    <row r="356" spans="1:1">
      <c r="A356" s="769" t="s">
        <v>543</v>
      </c>
    </row>
    <row r="357" spans="1:1">
      <c r="A357" s="769" t="s">
        <v>543</v>
      </c>
    </row>
    <row r="358" spans="1:1">
      <c r="A358" s="769" t="s">
        <v>542</v>
      </c>
    </row>
    <row r="359" spans="1:1">
      <c r="A359" s="769" t="s">
        <v>542</v>
      </c>
    </row>
    <row r="360" spans="1:1">
      <c r="A360" s="769" t="s">
        <v>542</v>
      </c>
    </row>
    <row r="361" spans="1:1">
      <c r="A361" s="769" t="s">
        <v>550</v>
      </c>
    </row>
    <row r="362" spans="1:1">
      <c r="A362" s="769" t="s">
        <v>550</v>
      </c>
    </row>
    <row r="363" spans="1:1">
      <c r="A363" s="769" t="s">
        <v>550</v>
      </c>
    </row>
    <row r="364" spans="1:1">
      <c r="A364" s="769" t="s">
        <v>550</v>
      </c>
    </row>
    <row r="366" spans="1:1">
      <c r="A366" s="432"/>
    </row>
    <row r="368" spans="1:1">
      <c r="A368" s="769">
        <v>13.817600000000001</v>
      </c>
    </row>
    <row r="369" spans="1:1">
      <c r="A369" s="769">
        <v>55.7622</v>
      </c>
    </row>
    <row r="372" spans="1:1">
      <c r="A372" s="769" t="s">
        <v>550</v>
      </c>
    </row>
    <row r="373" spans="1:1">
      <c r="A373" s="769" t="s">
        <v>550</v>
      </c>
    </row>
    <row r="374" spans="1:1">
      <c r="A374" s="769" t="s">
        <v>550</v>
      </c>
    </row>
    <row r="375" spans="1:1">
      <c r="A375" s="769" t="s">
        <v>550</v>
      </c>
    </row>
    <row r="376" spans="1:1">
      <c r="A376" s="769" t="s">
        <v>550</v>
      </c>
    </row>
    <row r="377" spans="1:1">
      <c r="A377" s="769" t="s">
        <v>550</v>
      </c>
    </row>
    <row r="378" spans="1:1">
      <c r="A378" s="769">
        <v>482</v>
      </c>
    </row>
    <row r="379" spans="1:1">
      <c r="A379" s="769">
        <v>482</v>
      </c>
    </row>
    <row r="380" spans="1:1">
      <c r="A380" s="769">
        <v>482</v>
      </c>
    </row>
    <row r="381" spans="1:1">
      <c r="A381" s="769">
        <v>482</v>
      </c>
    </row>
    <row r="382" spans="1:1">
      <c r="A382" s="769">
        <v>433</v>
      </c>
    </row>
    <row r="383" spans="1:1">
      <c r="A383" s="769">
        <v>433</v>
      </c>
    </row>
    <row r="384" spans="1:1">
      <c r="A384" s="769">
        <v>433</v>
      </c>
    </row>
    <row r="385" spans="1:1">
      <c r="A385" s="769">
        <v>2432</v>
      </c>
    </row>
    <row r="386" spans="1:1">
      <c r="A386" s="769">
        <v>2432</v>
      </c>
    </row>
    <row r="387" spans="1:1">
      <c r="A387" s="769">
        <v>2432</v>
      </c>
    </row>
    <row r="388" spans="1:1">
      <c r="A388" s="432"/>
    </row>
    <row r="390" spans="1:1">
      <c r="A390" s="769">
        <v>13.8262</v>
      </c>
    </row>
    <row r="391" spans="1:1">
      <c r="A391" s="769">
        <v>55.758200000000002</v>
      </c>
    </row>
    <row r="394" spans="1:1">
      <c r="A394" s="769">
        <v>2432</v>
      </c>
    </row>
    <row r="395" spans="1:1">
      <c r="A395" s="769">
        <v>2432</v>
      </c>
    </row>
    <row r="396" spans="1:1">
      <c r="A396" s="769">
        <v>2432</v>
      </c>
    </row>
    <row r="397" spans="1:1">
      <c r="A397" s="769">
        <v>2432</v>
      </c>
    </row>
    <row r="398" spans="1:1">
      <c r="A398" s="769">
        <v>2432</v>
      </c>
    </row>
    <row r="399" spans="1:1">
      <c r="A399" s="769" t="s">
        <v>552</v>
      </c>
    </row>
    <row r="400" spans="1:1">
      <c r="A400" s="769" t="s">
        <v>552</v>
      </c>
    </row>
    <row r="401" spans="1:1">
      <c r="A401" s="769" t="s">
        <v>552</v>
      </c>
    </row>
    <row r="402" spans="1:1">
      <c r="A402" s="769" t="s">
        <v>552</v>
      </c>
    </row>
    <row r="403" spans="1:1">
      <c r="A403" s="769" t="s">
        <v>541</v>
      </c>
    </row>
    <row r="404" spans="1:1">
      <c r="A404" s="769" t="s">
        <v>541</v>
      </c>
    </row>
    <row r="405" spans="1:1">
      <c r="A405" s="769" t="s">
        <v>541</v>
      </c>
    </row>
    <row r="406" spans="1:1">
      <c r="A406" s="769" t="s">
        <v>541</v>
      </c>
    </row>
    <row r="407" spans="1:1">
      <c r="A407" s="769" t="s">
        <v>553</v>
      </c>
    </row>
    <row r="408" spans="1:1">
      <c r="A408" s="769" t="s">
        <v>553</v>
      </c>
    </row>
    <row r="409" spans="1:1">
      <c r="A409" s="769" t="s">
        <v>553</v>
      </c>
    </row>
    <row r="411" spans="1:1">
      <c r="A411" s="432"/>
    </row>
    <row r="413" spans="1:1">
      <c r="A413" s="769">
        <v>13.814</v>
      </c>
    </row>
    <row r="414" spans="1:1">
      <c r="A414" s="769">
        <v>55.745100000000001</v>
      </c>
    </row>
    <row r="417" spans="1:1">
      <c r="A417" s="769" t="s">
        <v>550</v>
      </c>
    </row>
    <row r="418" spans="1:1">
      <c r="A418" s="769" t="s">
        <v>550</v>
      </c>
    </row>
    <row r="419" spans="1:1">
      <c r="A419" s="769" t="s">
        <v>550</v>
      </c>
    </row>
    <row r="420" spans="1:1">
      <c r="A420" s="769" t="s">
        <v>550</v>
      </c>
    </row>
    <row r="421" spans="1:1">
      <c r="A421" s="769" t="s">
        <v>550</v>
      </c>
    </row>
    <row r="422" spans="1:1">
      <c r="A422" s="769" t="s">
        <v>550</v>
      </c>
    </row>
    <row r="423" spans="1:1">
      <c r="A423" s="769">
        <v>2483</v>
      </c>
    </row>
    <row r="424" spans="1:1">
      <c r="A424" s="769">
        <v>2483</v>
      </c>
    </row>
    <row r="425" spans="1:1">
      <c r="A425" s="769">
        <v>2483</v>
      </c>
    </row>
    <row r="426" spans="1:1">
      <c r="A426" s="769">
        <v>433</v>
      </c>
    </row>
    <row r="427" spans="1:1">
      <c r="A427" s="769">
        <v>433</v>
      </c>
    </row>
    <row r="428" spans="1:1">
      <c r="A428" s="769">
        <v>433</v>
      </c>
    </row>
    <row r="429" spans="1:1">
      <c r="A429" s="769">
        <v>433</v>
      </c>
    </row>
    <row r="430" spans="1:1">
      <c r="A430" s="769">
        <v>2432</v>
      </c>
    </row>
    <row r="431" spans="1:1">
      <c r="A431" s="769">
        <v>2432</v>
      </c>
    </row>
    <row r="432" spans="1:1">
      <c r="A432" s="769">
        <v>2432</v>
      </c>
    </row>
    <row r="433" spans="1:1">
      <c r="A433" s="432"/>
    </row>
    <row r="435" spans="1:1">
      <c r="A435" s="769">
        <v>13.8247</v>
      </c>
    </row>
    <row r="436" spans="1:1">
      <c r="A436" s="769">
        <v>55.752800000000001</v>
      </c>
    </row>
    <row r="439" spans="1:1">
      <c r="A439" s="769">
        <v>2432</v>
      </c>
    </row>
    <row r="440" spans="1:1">
      <c r="A440" s="769">
        <v>2432</v>
      </c>
    </row>
    <row r="441" spans="1:1">
      <c r="A441" s="769">
        <v>2432</v>
      </c>
    </row>
    <row r="442" spans="1:1">
      <c r="A442" s="769">
        <v>2432</v>
      </c>
    </row>
    <row r="443" spans="1:1">
      <c r="A443" s="769">
        <v>2432</v>
      </c>
    </row>
    <row r="444" spans="1:1">
      <c r="A444" s="769" t="s">
        <v>543</v>
      </c>
    </row>
    <row r="445" spans="1:1">
      <c r="A445" s="769" t="s">
        <v>543</v>
      </c>
    </row>
    <row r="446" spans="1:1">
      <c r="A446" s="769" t="s">
        <v>543</v>
      </c>
    </row>
    <row r="447" spans="1:1">
      <c r="A447" s="769" t="s">
        <v>543</v>
      </c>
    </row>
    <row r="448" spans="1:1">
      <c r="A448" s="769" t="s">
        <v>542</v>
      </c>
    </row>
    <row r="449" spans="1:1">
      <c r="A449" s="769" t="s">
        <v>542</v>
      </c>
    </row>
    <row r="450" spans="1:1">
      <c r="A450" s="769" t="s">
        <v>542</v>
      </c>
    </row>
    <row r="451" spans="1:1">
      <c r="A451" s="769" t="s">
        <v>553</v>
      </c>
    </row>
    <row r="452" spans="1:1">
      <c r="A452" s="769" t="s">
        <v>553</v>
      </c>
    </row>
    <row r="453" spans="1:1">
      <c r="A453" s="769" t="s">
        <v>553</v>
      </c>
    </row>
    <row r="454" spans="1:1">
      <c r="A454" s="769" t="s">
        <v>553</v>
      </c>
    </row>
    <row r="455" spans="1:1">
      <c r="A455" s="769">
        <v>300</v>
      </c>
    </row>
    <row r="458" spans="1:1">
      <c r="A458" s="432"/>
    </row>
    <row r="461" spans="1:1">
      <c r="A461" s="432"/>
    </row>
    <row r="478" spans="1:1">
      <c r="A478" s="432"/>
    </row>
    <row r="496" spans="1:1">
      <c r="A496" s="432"/>
    </row>
    <row r="513" spans="1:1">
      <c r="A513" s="432"/>
    </row>
    <row r="531" spans="1:1">
      <c r="A531" s="432"/>
    </row>
    <row r="548" spans="1:1">
      <c r="A548" s="432"/>
    </row>
    <row r="566" spans="1:1">
      <c r="A566" s="432"/>
    </row>
    <row r="583" spans="1:1">
      <c r="A583" s="432"/>
    </row>
    <row r="601" spans="1:1">
      <c r="A601" s="432"/>
    </row>
    <row r="618" spans="1:1">
      <c r="A618" s="432"/>
    </row>
    <row r="636" spans="1:1">
      <c r="A636" s="432"/>
    </row>
    <row r="653" spans="1:1">
      <c r="A653" s="432"/>
    </row>
    <row r="671" spans="1:1">
      <c r="A671" s="432"/>
    </row>
    <row r="688" spans="1:1">
      <c r="A688" s="432"/>
    </row>
    <row r="713" spans="1:1">
      <c r="A713" s="432"/>
    </row>
    <row r="731" spans="1:1">
      <c r="A731" s="432"/>
    </row>
    <row r="748" spans="1:1">
      <c r="A748" s="432"/>
    </row>
    <row r="766" spans="1:1">
      <c r="A766" s="432"/>
    </row>
    <row r="783" spans="1:1">
      <c r="A783" s="432"/>
    </row>
    <row r="801" spans="1:1">
      <c r="A801" s="432"/>
    </row>
    <row r="818" spans="1:1">
      <c r="A818" s="432"/>
    </row>
    <row r="836" spans="1:1">
      <c r="A836" s="432"/>
    </row>
    <row r="853" spans="1:1">
      <c r="A853" s="432"/>
    </row>
    <row r="871" spans="1:1">
      <c r="A871" s="432"/>
    </row>
    <row r="888" spans="1:1">
      <c r="A888" s="432"/>
    </row>
    <row r="906" spans="1:1">
      <c r="A906" s="432"/>
    </row>
    <row r="923" spans="1:1">
      <c r="A923" s="432"/>
    </row>
    <row r="941" spans="1:1">
      <c r="A941" s="432"/>
    </row>
    <row r="958" spans="1:1">
      <c r="A958" s="432"/>
    </row>
    <row r="976" spans="1:1">
      <c r="A976" s="432"/>
    </row>
    <row r="993" spans="1:1">
      <c r="A993" s="432"/>
    </row>
    <row r="1011" spans="1:1">
      <c r="A1011" s="432"/>
    </row>
    <row r="1028" spans="1:1">
      <c r="A1028" s="432"/>
    </row>
  </sheetData>
  <mergeCells count="4">
    <mergeCell ref="C5:D5"/>
    <mergeCell ref="C6:D6"/>
    <mergeCell ref="C7:D7"/>
    <mergeCell ref="B1:L1"/>
  </mergeCells>
  <phoneticPr fontId="86"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17</vt:i4>
      </vt:variant>
      <vt:variant>
        <vt:lpstr>已命名的範圍</vt:lpstr>
      </vt:variant>
      <vt:variant>
        <vt:i4>181</vt:i4>
      </vt:variant>
    </vt:vector>
  </HeadingPairs>
  <TitlesOfParts>
    <vt:vector size="198" baseType="lpstr">
      <vt:lpstr>Disclaimer</vt:lpstr>
      <vt:lpstr>Revision_History</vt:lpstr>
      <vt:lpstr>Spec Entry</vt:lpstr>
      <vt:lpstr>Thermal Comp</vt:lpstr>
      <vt:lpstr>Static LL</vt:lpstr>
      <vt:lpstr>Transient LL</vt:lpstr>
      <vt:lpstr>Dynamic VID </vt:lpstr>
      <vt:lpstr>Psys</vt:lpstr>
      <vt:lpstr>Raw_data</vt:lpstr>
      <vt:lpstr>Accuracy</vt:lpstr>
      <vt:lpstr>Response Time</vt:lpstr>
      <vt:lpstr>VID1 Validation Plots</vt:lpstr>
      <vt:lpstr>VID2 - PS1 Validation Plots</vt:lpstr>
      <vt:lpstr>VID2 - PS2 Validation Plots</vt:lpstr>
      <vt:lpstr>Test Summary</vt:lpstr>
      <vt:lpstr>IOUT Calcs</vt:lpstr>
      <vt:lpstr>Iout_data</vt:lpstr>
      <vt:lpstr>ADC_Vref</vt:lpstr>
      <vt:lpstr>DCR</vt:lpstr>
      <vt:lpstr>dt</vt:lpstr>
      <vt:lpstr>Duty_Cycle</vt:lpstr>
      <vt:lpstr>dVID_Settle</vt:lpstr>
      <vt:lpstr>Eff</vt:lpstr>
      <vt:lpstr>I_Step_PS0_IccMAX</vt:lpstr>
      <vt:lpstr>I_Step_PS0_IccMAX_App</vt:lpstr>
      <vt:lpstr>I_Step_PS1</vt:lpstr>
      <vt:lpstr>IccMax</vt:lpstr>
      <vt:lpstr>IccMax_app</vt:lpstr>
      <vt:lpstr>Iccmax_PS1</vt:lpstr>
      <vt:lpstr>IccMax_PS2</vt:lpstr>
      <vt:lpstr>IccMax_PS3</vt:lpstr>
      <vt:lpstr>IccMax20p</vt:lpstr>
      <vt:lpstr>IccMax80p</vt:lpstr>
      <vt:lpstr>Iout_spec</vt:lpstr>
      <vt:lpstr>Ipsys</vt:lpstr>
      <vt:lpstr>LT_TDC</vt:lpstr>
      <vt:lpstr>Neg_Ripple_PS2</vt:lpstr>
      <vt:lpstr>Neg_Ripple_PS3</vt:lpstr>
      <vt:lpstr>Offset</vt:lpstr>
      <vt:lpstr>phases</vt:lpstr>
      <vt:lpstr>PL1w</vt:lpstr>
      <vt:lpstr>Platform</vt:lpstr>
      <vt:lpstr>POS_Ripple_PS2</vt:lpstr>
      <vt:lpstr>POS_Ripple_PS3</vt:lpstr>
      <vt:lpstr>PS0_Decay_5A_5uS</vt:lpstr>
      <vt:lpstr>PS0_Decay_5A_Static_V</vt:lpstr>
      <vt:lpstr>PS0_Decay_5A_undershoot</vt:lpstr>
      <vt:lpstr>PS0_Decay_5A_Vdown</vt:lpstr>
      <vt:lpstr>PS0_Decay_5A_Vup</vt:lpstr>
      <vt:lpstr>PS0_Fast_10A_5uS</vt:lpstr>
      <vt:lpstr>PS0_Fast_10A_down</vt:lpstr>
      <vt:lpstr>PS0_Fast_10A_Static_V</vt:lpstr>
      <vt:lpstr>PS0_Fast_10A_undershoot</vt:lpstr>
      <vt:lpstr>PS0_Fast_10A_up</vt:lpstr>
      <vt:lpstr>PS0_Fast_10A_Vdown</vt:lpstr>
      <vt:lpstr>PS0_Fast_10A_Vup</vt:lpstr>
      <vt:lpstr>PS0_IccMAX_App_tOvS</vt:lpstr>
      <vt:lpstr>PS0_IccMAX_App_V_End</vt:lpstr>
      <vt:lpstr>PS0_IccMAX_App_V_OS</vt:lpstr>
      <vt:lpstr>PS0_IccMAX_tOvS</vt:lpstr>
      <vt:lpstr>PS0_IccMAX_V_End</vt:lpstr>
      <vt:lpstr>PS0_IccMax_V_OS</vt:lpstr>
      <vt:lpstr>PS0_Iin</vt:lpstr>
      <vt:lpstr>PS0_ILoad</vt:lpstr>
      <vt:lpstr>PS0_Iout</vt:lpstr>
      <vt:lpstr>PS0_Large_Step_Droop_Duration</vt:lpstr>
      <vt:lpstr>PS0_Large_Step_V_Droop</vt:lpstr>
      <vt:lpstr>PS0_Large_Step_V_Start</vt:lpstr>
      <vt:lpstr>PS0_LS_Droop</vt:lpstr>
      <vt:lpstr>PS0_LS_Over</vt:lpstr>
      <vt:lpstr>PS0_OCP</vt:lpstr>
      <vt:lpstr>PS0_PS1_200uS_to_400us</vt:lpstr>
      <vt:lpstr>PS0_PS2_200us_to_400us</vt:lpstr>
      <vt:lpstr>PS0_PS3_200us_to_400us</vt:lpstr>
      <vt:lpstr>PS0_Ripple</vt:lpstr>
      <vt:lpstr>PS0_Slow_10A_5uS</vt:lpstr>
      <vt:lpstr>PS0_Slow_10A_down</vt:lpstr>
      <vt:lpstr>PS0_Slow_10A_Static_V</vt:lpstr>
      <vt:lpstr>PS0_Slow_10A_undershoot</vt:lpstr>
      <vt:lpstr>PS0_Slow_10A_up</vt:lpstr>
      <vt:lpstr>PS0_Slow_10A_Vdown</vt:lpstr>
      <vt:lpstr>PS0_Slow_10A_Vup</vt:lpstr>
      <vt:lpstr>PS0_Slow_5A_up</vt:lpstr>
      <vt:lpstr>PS0_Small_Step_V_Droop</vt:lpstr>
      <vt:lpstr>PS0_Small_Step_V_Start</vt:lpstr>
      <vt:lpstr>PS0_SS_300hz</vt:lpstr>
      <vt:lpstr>PS0_SS_Droop</vt:lpstr>
      <vt:lpstr>PS0_Vin</vt:lpstr>
      <vt:lpstr>PS0_VRout</vt:lpstr>
      <vt:lpstr>PS1_300hz</vt:lpstr>
      <vt:lpstr>PS1_Droop</vt:lpstr>
      <vt:lpstr>PS1_Fast_0A_Vup</vt:lpstr>
      <vt:lpstr>PS1_Fast_10A_5uS</vt:lpstr>
      <vt:lpstr>PS1_Fast_10A_Static_V</vt:lpstr>
      <vt:lpstr>PS1_Fast_10A_up</vt:lpstr>
      <vt:lpstr>PS1_Iin</vt:lpstr>
      <vt:lpstr>PS1_ILoad</vt:lpstr>
      <vt:lpstr>PS1_Iout</vt:lpstr>
      <vt:lpstr>PS1_PS0_200uS_to_400uS</vt:lpstr>
      <vt:lpstr>PS1_PS0_300hz</vt:lpstr>
      <vt:lpstr>PS1_Ripple</vt:lpstr>
      <vt:lpstr>PS1_Slow_0A_Vdown</vt:lpstr>
      <vt:lpstr>PS1_Slow_10A_undershoot</vt:lpstr>
      <vt:lpstr>PS1_to_PS0_V_Droop</vt:lpstr>
      <vt:lpstr>PS1_to_PS0_V_Start</vt:lpstr>
      <vt:lpstr>PS1_V_Droop</vt:lpstr>
      <vt:lpstr>PS1_V_Start</vt:lpstr>
      <vt:lpstr>PS1_Vin</vt:lpstr>
      <vt:lpstr>PS1_VRout</vt:lpstr>
      <vt:lpstr>PS2_300hz</vt:lpstr>
      <vt:lpstr>PS2_Decay_2A_undershoot</vt:lpstr>
      <vt:lpstr>PS2_Droop</vt:lpstr>
      <vt:lpstr>PS2_Fast_2A_5uS</vt:lpstr>
      <vt:lpstr>PS2_Fast_2A_Static_V</vt:lpstr>
      <vt:lpstr>PS2_Fast_2A_up</vt:lpstr>
      <vt:lpstr>PS2_Fast_2A_Vup</vt:lpstr>
      <vt:lpstr>PS2_Iin</vt:lpstr>
      <vt:lpstr>PS2_ILoad</vt:lpstr>
      <vt:lpstr>PS2_Iout</vt:lpstr>
      <vt:lpstr>PS2_minus_Ripple</vt:lpstr>
      <vt:lpstr>PS2_pkpk_Ripple</vt:lpstr>
      <vt:lpstr>PS2_plus_Ripple</vt:lpstr>
      <vt:lpstr>PS2_PS0_200uS_to_400uS</vt:lpstr>
      <vt:lpstr>PS2_PS0_300hz</vt:lpstr>
      <vt:lpstr>PS2_Slow_2A_Vdown</vt:lpstr>
      <vt:lpstr>PS2_to_PS0_V_Droop</vt:lpstr>
      <vt:lpstr>PS2_to_PS0_V_Start</vt:lpstr>
      <vt:lpstr>PS2_V_Droop</vt:lpstr>
      <vt:lpstr>PS2_V_Start</vt:lpstr>
      <vt:lpstr>PS2_Vin</vt:lpstr>
      <vt:lpstr>PS2_VRout</vt:lpstr>
      <vt:lpstr>PS3_Decay_1A_undershoot</vt:lpstr>
      <vt:lpstr>PS3_Decay_1A_Vdown</vt:lpstr>
      <vt:lpstr>PS3_Fast_1A_5uS</vt:lpstr>
      <vt:lpstr>PS3_Fast_1A_Static_V</vt:lpstr>
      <vt:lpstr>PS3_Fast_1A_up</vt:lpstr>
      <vt:lpstr>PS3_Fast_1A_Vup</vt:lpstr>
      <vt:lpstr>PS3_Iin</vt:lpstr>
      <vt:lpstr>PS3_ILoad</vt:lpstr>
      <vt:lpstr>PS3_Iout</vt:lpstr>
      <vt:lpstr>PS3_minus_Ripple</vt:lpstr>
      <vt:lpstr>PS3_pkpk_Ripple</vt:lpstr>
      <vt:lpstr>PS3_plus_Ripple</vt:lpstr>
      <vt:lpstr>PS3_PS0_200us_to_400us</vt:lpstr>
      <vt:lpstr>PS3_PS0_300hz</vt:lpstr>
      <vt:lpstr>PS3_PS0_V_Droop</vt:lpstr>
      <vt:lpstr>PS3_PS0_V_Start</vt:lpstr>
      <vt:lpstr>PS3_Vin</vt:lpstr>
      <vt:lpstr>PS3_VRout</vt:lpstr>
      <vt:lpstr>PS4_Fast_1A_up</vt:lpstr>
      <vt:lpstr>PS4_Fast_1A_Vup</vt:lpstr>
      <vt:lpstr>Psys_Pmax</vt:lpstr>
      <vt:lpstr>Psys!PSYS_zero</vt:lpstr>
      <vt:lpstr>R_AC_LL</vt:lpstr>
      <vt:lpstr>R_AC_LL_max</vt:lpstr>
      <vt:lpstr>R_AC_LL_max_PS1</vt:lpstr>
      <vt:lpstr>R_AC_LL_max_PS2</vt:lpstr>
      <vt:lpstr>R_AC_LL_OS_IccMAX</vt:lpstr>
      <vt:lpstr>R_AC_LL_OS_IccMAX_App</vt:lpstr>
      <vt:lpstr>R_DC_LL</vt:lpstr>
      <vt:lpstr>R_DC_LL_max_PS1</vt:lpstr>
      <vt:lpstr>R_DC_LL_max_PS2</vt:lpstr>
      <vt:lpstr>R_DC_LL_min_PS1</vt:lpstr>
      <vt:lpstr>R_DC_LL_min_PS2</vt:lpstr>
      <vt:lpstr>R_LL_MAX</vt:lpstr>
      <vt:lpstr>R_LL_MIN</vt:lpstr>
      <vt:lpstr>Rail</vt:lpstr>
      <vt:lpstr>Ripple_PS0</vt:lpstr>
      <vt:lpstr>Ripple_PS1</vt:lpstr>
      <vt:lpstr>Ripple_PS2</vt:lpstr>
      <vt:lpstr>Ripple_PS2_N</vt:lpstr>
      <vt:lpstr>Ripple_PS3</vt:lpstr>
      <vt:lpstr>Ripple_PS3_N</vt:lpstr>
      <vt:lpstr>Rpsys</vt:lpstr>
      <vt:lpstr>SetVID_FAST</vt:lpstr>
      <vt:lpstr>SetVID_Slow</vt:lpstr>
      <vt:lpstr>Slope</vt:lpstr>
      <vt:lpstr>T_OVS_Max_IccMAX</vt:lpstr>
      <vt:lpstr>T_OVS_Max_IccMAX_App</vt:lpstr>
      <vt:lpstr>T_UDS_MAX</vt:lpstr>
      <vt:lpstr>TC_data</vt:lpstr>
      <vt:lpstr>TC_VR_Hot</vt:lpstr>
      <vt:lpstr>V_OVS_IccMAX</vt:lpstr>
      <vt:lpstr>V_OVS_IccMAX_App</vt:lpstr>
      <vt:lpstr>V_TOB_IMAX_in_PS0</vt:lpstr>
      <vt:lpstr>V_TOB_Imax_PS1</vt:lpstr>
      <vt:lpstr>V_TOB_Imax_PS2</vt:lpstr>
      <vt:lpstr>V_TOB_Imax_PS3</vt:lpstr>
      <vt:lpstr>V_TOB_IMAX_VID1</vt:lpstr>
      <vt:lpstr>V_TOB_Imin</vt:lpstr>
      <vt:lpstr>V_Undershoot</vt:lpstr>
      <vt:lpstr>Validation</vt:lpstr>
      <vt:lpstr>VID_1</vt:lpstr>
      <vt:lpstr>VID_2</vt:lpstr>
      <vt:lpstr>VID_3</vt:lpstr>
      <vt:lpstr>VR_TDC</vt:lpstr>
      <vt:lpstr>VR_Ver</vt:lpstr>
      <vt:lpstr>Y_Line</vt:lpstr>
    </vt:vector>
  </TitlesOfParts>
  <Company>Intel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Jull</dc:creator>
  <cp:keywords>CTPClassification=CTP_IC:VisualMarkings=, CTPClassification=CTP_IC</cp:keywords>
  <cp:lastModifiedBy>joseph.chen</cp:lastModifiedBy>
  <cp:lastPrinted>2012-01-10T23:07:41Z</cp:lastPrinted>
  <dcterms:created xsi:type="dcterms:W3CDTF">2009-03-17T17:43:09Z</dcterms:created>
  <dcterms:modified xsi:type="dcterms:W3CDTF">2018-07-04T12:31:44Z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df27e013-b26f-427e-8de0-51a944a4d581</vt:lpwstr>
  </property>
  <property fmtid="{D5CDD505-2E9C-101B-9397-08002B2CF9AE}" pid="3" name="CTP_BU">
    <vt:lpwstr>CCG OPERATIONS GROUP</vt:lpwstr>
  </property>
  <property fmtid="{D5CDD505-2E9C-101B-9397-08002B2CF9AE}" pid="4" name="CTP_TimeStamp">
    <vt:lpwstr>2017-12-27 03:14:21Z</vt:lpwstr>
  </property>
  <property fmtid="{D5CDD505-2E9C-101B-9397-08002B2CF9AE}" pid="5" name="CTPClassification">
    <vt:lpwstr>CTP_IC</vt:lpwstr>
  </property>
</Properties>
</file>